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no de 2020\LICITAÇÕES E PROPOSTAS 2020\12 DEZEMBRO\01 - MINISTÉRIO DA ECONOMIA\DILIGÊNCIA 02.07.2021 - LOTE 18, 21 e 24\Lote 21 - Diligência\"/>
    </mc:Choice>
  </mc:AlternateContent>
  <xr:revisionPtr revIDLastSave="0" documentId="13_ncr:1_{8B69C9BB-F9DA-406B-AAC6-35A96A09ACC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ecificação Total" sheetId="1" r:id="rId1"/>
    <sheet name="Precificação por Lote" sheetId="2" r:id="rId2"/>
    <sheet name="Uniforme" sheetId="5" state="hidden" r:id="rId3"/>
    <sheet name="Uniforme." sheetId="7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8" i="1" l="1"/>
  <c r="AA4" i="1"/>
  <c r="W6" i="1"/>
  <c r="D6" i="2" l="1"/>
  <c r="AC5" i="2"/>
  <c r="AC4" i="2"/>
  <c r="D18" i="7" l="1"/>
  <c r="E68" i="1" s="1"/>
  <c r="O68" i="1" l="1"/>
  <c r="K68" i="1"/>
  <c r="G68" i="1"/>
  <c r="W68" i="1"/>
  <c r="W69" i="1" s="1"/>
  <c r="S68" i="1"/>
  <c r="D15" i="7"/>
  <c r="D14" i="7"/>
  <c r="D13" i="7"/>
  <c r="D12" i="7"/>
  <c r="D6" i="7"/>
  <c r="D5" i="7"/>
  <c r="D4" i="7"/>
  <c r="D3" i="7"/>
  <c r="D16" i="7" l="1"/>
  <c r="D17" i="7" s="1"/>
  <c r="D7" i="7"/>
  <c r="D8" i="7" s="1"/>
  <c r="I6" i="2" l="1"/>
  <c r="N6" i="2"/>
  <c r="S6" i="2"/>
  <c r="X6" i="2"/>
  <c r="W20" i="1" l="1"/>
  <c r="Y20" i="1" s="1"/>
  <c r="Z20" i="1" s="1"/>
  <c r="S20" i="1"/>
  <c r="U20" i="1" s="1"/>
  <c r="V20" i="1" s="1"/>
  <c r="O20" i="1"/>
  <c r="Q20" i="1" s="1"/>
  <c r="R20" i="1" s="1"/>
  <c r="K20" i="1"/>
  <c r="M20" i="1" s="1"/>
  <c r="N20" i="1" s="1"/>
  <c r="G20" i="1"/>
  <c r="I20" i="1" s="1"/>
  <c r="W17" i="1"/>
  <c r="Y17" i="1" s="1"/>
  <c r="Z17" i="1" s="1"/>
  <c r="S17" i="1"/>
  <c r="U17" i="1" s="1"/>
  <c r="V17" i="1" s="1"/>
  <c r="O17" i="1"/>
  <c r="Q17" i="1" s="1"/>
  <c r="R17" i="1" s="1"/>
  <c r="K17" i="1"/>
  <c r="G17" i="1"/>
  <c r="I17" i="1" s="1"/>
  <c r="Y68" i="1"/>
  <c r="Z68" i="1" s="1"/>
  <c r="O69" i="1"/>
  <c r="K69" i="1"/>
  <c r="C129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88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3" i="5"/>
  <c r="I68" i="1"/>
  <c r="W14" i="1"/>
  <c r="W22" i="1"/>
  <c r="W28" i="1" s="1"/>
  <c r="Y28" i="1" s="1"/>
  <c r="Z28" i="1" s="1"/>
  <c r="W32" i="1"/>
  <c r="W42" i="1"/>
  <c r="W44" i="1"/>
  <c r="W45" i="1"/>
  <c r="Y45" i="1" s="1"/>
  <c r="Z45" i="1" s="1"/>
  <c r="W55" i="1"/>
  <c r="W57" i="1"/>
  <c r="S6" i="1"/>
  <c r="S22" i="1"/>
  <c r="S30" i="1" s="1"/>
  <c r="S32" i="1"/>
  <c r="S35" i="1" s="1"/>
  <c r="U35" i="1" s="1"/>
  <c r="V35" i="1" s="1"/>
  <c r="S42" i="1"/>
  <c r="S44" i="1"/>
  <c r="S45" i="1"/>
  <c r="S55" i="1"/>
  <c r="S57" i="1"/>
  <c r="O6" i="1"/>
  <c r="O14" i="1" s="1"/>
  <c r="O22" i="1"/>
  <c r="O30" i="1" s="1"/>
  <c r="O32" i="1"/>
  <c r="O36" i="1" s="1"/>
  <c r="Q36" i="1" s="1"/>
  <c r="R36" i="1" s="1"/>
  <c r="O42" i="1"/>
  <c r="O44" i="1"/>
  <c r="O45" i="1"/>
  <c r="O55" i="1"/>
  <c r="O57" i="1"/>
  <c r="Q57" i="1" s="1"/>
  <c r="R57" i="1" s="1"/>
  <c r="K6" i="1"/>
  <c r="K14" i="1" s="1"/>
  <c r="K22" i="1"/>
  <c r="K25" i="1" s="1"/>
  <c r="M25" i="1" s="1"/>
  <c r="N25" i="1" s="1"/>
  <c r="K32" i="1"/>
  <c r="K40" i="1" s="1"/>
  <c r="K42" i="1"/>
  <c r="K44" i="1"/>
  <c r="K45" i="1"/>
  <c r="M45" i="1" s="1"/>
  <c r="N45" i="1" s="1"/>
  <c r="K55" i="1"/>
  <c r="M55" i="1" s="1"/>
  <c r="N55" i="1" s="1"/>
  <c r="K57" i="1"/>
  <c r="G6" i="1"/>
  <c r="G22" i="1"/>
  <c r="G30" i="1" s="1"/>
  <c r="G32" i="1"/>
  <c r="G38" i="1" s="1"/>
  <c r="I38" i="1" s="1"/>
  <c r="G42" i="1"/>
  <c r="G44" i="1"/>
  <c r="G45" i="1"/>
  <c r="G55" i="1"/>
  <c r="G57" i="1"/>
  <c r="Q16" i="1"/>
  <c r="R16" i="1" s="1"/>
  <c r="O18" i="1"/>
  <c r="Q18" i="1" s="1"/>
  <c r="R18" i="1" s="1"/>
  <c r="O19" i="1"/>
  <c r="Q19" i="1" s="1"/>
  <c r="R19" i="1" s="1"/>
  <c r="O56" i="1"/>
  <c r="Q56" i="1" s="1"/>
  <c r="R56" i="1" s="1"/>
  <c r="G56" i="1"/>
  <c r="I56" i="1" s="1"/>
  <c r="K56" i="1"/>
  <c r="M56" i="1" s="1"/>
  <c r="N56" i="1" s="1"/>
  <c r="K64" i="1"/>
  <c r="M64" i="1" s="1"/>
  <c r="N64" i="1" s="1"/>
  <c r="S56" i="1"/>
  <c r="W56" i="1"/>
  <c r="I16" i="1"/>
  <c r="G18" i="1"/>
  <c r="I18" i="1" s="1"/>
  <c r="G19" i="1"/>
  <c r="M16" i="1"/>
  <c r="N16" i="1" s="1"/>
  <c r="K18" i="1"/>
  <c r="M18" i="1" s="1"/>
  <c r="N18" i="1" s="1"/>
  <c r="K19" i="1"/>
  <c r="M19" i="1" s="1"/>
  <c r="N19" i="1" s="1"/>
  <c r="S16" i="1"/>
  <c r="U16" i="1" s="1"/>
  <c r="V16" i="1" s="1"/>
  <c r="S18" i="1"/>
  <c r="U18" i="1" s="1"/>
  <c r="V18" i="1" s="1"/>
  <c r="S19" i="1"/>
  <c r="U19" i="1" s="1"/>
  <c r="V19" i="1" s="1"/>
  <c r="W16" i="1"/>
  <c r="W18" i="1"/>
  <c r="Y18" i="1" s="1"/>
  <c r="Z18" i="1" s="1"/>
  <c r="W19" i="1"/>
  <c r="Y19" i="1" s="1"/>
  <c r="Z19" i="1" s="1"/>
  <c r="S69" i="1"/>
  <c r="K36" i="1"/>
  <c r="M36" i="1" s="1"/>
  <c r="N36" i="1" s="1"/>
  <c r="G9" i="1"/>
  <c r="G10" i="1"/>
  <c r="I10" i="1" s="1"/>
  <c r="G12" i="1"/>
  <c r="I12" i="1" s="1"/>
  <c r="K9" i="1"/>
  <c r="M9" i="1" s="1"/>
  <c r="N9" i="1" s="1"/>
  <c r="K10" i="1"/>
  <c r="M10" i="1" s="1"/>
  <c r="N10" i="1" s="1"/>
  <c r="K13" i="1"/>
  <c r="M13" i="1" s="1"/>
  <c r="N13" i="1" s="1"/>
  <c r="M14" i="1"/>
  <c r="N14" i="1" s="1"/>
  <c r="O8" i="1"/>
  <c r="Q8" i="1" s="1"/>
  <c r="R8" i="1" s="1"/>
  <c r="O10" i="1"/>
  <c r="Q10" i="1" s="1"/>
  <c r="R10" i="1" s="1"/>
  <c r="O11" i="1"/>
  <c r="Q11" i="1" s="1"/>
  <c r="R11" i="1" s="1"/>
  <c r="O12" i="1"/>
  <c r="Q12" i="1" s="1"/>
  <c r="R12" i="1" s="1"/>
  <c r="S8" i="1"/>
  <c r="U8" i="1" s="1"/>
  <c r="V8" i="1" s="1"/>
  <c r="S9" i="1"/>
  <c r="U9" i="1" s="1"/>
  <c r="V9" i="1" s="1"/>
  <c r="S10" i="1"/>
  <c r="U10" i="1" s="1"/>
  <c r="V10" i="1" s="1"/>
  <c r="S12" i="1"/>
  <c r="U12" i="1" s="1"/>
  <c r="V12" i="1" s="1"/>
  <c r="S13" i="1"/>
  <c r="U13" i="1" s="1"/>
  <c r="V13" i="1" s="1"/>
  <c r="W9" i="1"/>
  <c r="Y9" i="1" s="1"/>
  <c r="Z9" i="1" s="1"/>
  <c r="W10" i="1"/>
  <c r="Y10" i="1" s="1"/>
  <c r="Z10" i="1" s="1"/>
  <c r="W11" i="1"/>
  <c r="Y11" i="1" s="1"/>
  <c r="Z11" i="1" s="1"/>
  <c r="W13" i="1"/>
  <c r="Y13" i="1" s="1"/>
  <c r="Z13" i="1" s="1"/>
  <c r="I9" i="1"/>
  <c r="I44" i="1"/>
  <c r="M44" i="1"/>
  <c r="N44" i="1" s="1"/>
  <c r="Q44" i="1"/>
  <c r="R44" i="1" s="1"/>
  <c r="U44" i="1"/>
  <c r="V44" i="1" s="1"/>
  <c r="Y44" i="1"/>
  <c r="Z44" i="1" s="1"/>
  <c r="I19" i="1"/>
  <c r="I42" i="1"/>
  <c r="Q68" i="1"/>
  <c r="R68" i="1" s="1"/>
  <c r="U68" i="1"/>
  <c r="V68" i="1" s="1"/>
  <c r="U56" i="1"/>
  <c r="V56" i="1" s="1"/>
  <c r="Y56" i="1"/>
  <c r="Z56" i="1" s="1"/>
  <c r="M17" i="1"/>
  <c r="N17" i="1" s="1"/>
  <c r="Q14" i="1"/>
  <c r="R14" i="1" s="1"/>
  <c r="Y14" i="1"/>
  <c r="Z14" i="1" s="1"/>
  <c r="I6" i="1"/>
  <c r="Q6" i="1"/>
  <c r="R6" i="1" s="1"/>
  <c r="M6" i="1"/>
  <c r="N6" i="1" s="1"/>
  <c r="U6" i="1"/>
  <c r="V6" i="1" s="1"/>
  <c r="Y6" i="1"/>
  <c r="Z6" i="1" s="1"/>
  <c r="J6" i="1" l="1"/>
  <c r="AA6" i="1"/>
  <c r="J44" i="1"/>
  <c r="AA44" i="1"/>
  <c r="AB44" i="1" s="1"/>
  <c r="J18" i="1"/>
  <c r="AA18" i="1"/>
  <c r="J38" i="1"/>
  <c r="W40" i="1"/>
  <c r="J42" i="1"/>
  <c r="S28" i="1"/>
  <c r="U28" i="1" s="1"/>
  <c r="V28" i="1" s="1"/>
  <c r="J56" i="1"/>
  <c r="AA56" i="1"/>
  <c r="AB56" i="1" s="1"/>
  <c r="J17" i="1"/>
  <c r="AA17" i="1"/>
  <c r="J9" i="1"/>
  <c r="Y16" i="1"/>
  <c r="Z16" i="1" s="1"/>
  <c r="W21" i="1"/>
  <c r="J12" i="1"/>
  <c r="J16" i="1"/>
  <c r="J19" i="1"/>
  <c r="AA19" i="1"/>
  <c r="J10" i="1"/>
  <c r="AA10" i="1"/>
  <c r="AB10" i="1" s="1"/>
  <c r="G26" i="1"/>
  <c r="I26" i="1" s="1"/>
  <c r="J68" i="1"/>
  <c r="J20" i="1"/>
  <c r="AA20" i="1"/>
  <c r="M32" i="1"/>
  <c r="N32" i="1" s="1"/>
  <c r="O24" i="1"/>
  <c r="Q24" i="1" s="1"/>
  <c r="R24" i="1" s="1"/>
  <c r="S39" i="1"/>
  <c r="U39" i="1" s="1"/>
  <c r="V39" i="1" s="1"/>
  <c r="U32" i="1"/>
  <c r="V32" i="1" s="1"/>
  <c r="W34" i="1"/>
  <c r="Y34" i="1" s="1"/>
  <c r="Z34" i="1" s="1"/>
  <c r="M22" i="1"/>
  <c r="N22" i="1" s="1"/>
  <c r="K37" i="1"/>
  <c r="M37" i="1" s="1"/>
  <c r="N37" i="1" s="1"/>
  <c r="G63" i="1"/>
  <c r="I63" i="1" s="1"/>
  <c r="G48" i="1"/>
  <c r="I48" i="1" s="1"/>
  <c r="K62" i="1"/>
  <c r="M62" i="1" s="1"/>
  <c r="N62" i="1" s="1"/>
  <c r="K53" i="1"/>
  <c r="O53" i="1"/>
  <c r="Q53" i="1" s="1"/>
  <c r="S61" i="1"/>
  <c r="S53" i="1"/>
  <c r="W60" i="1"/>
  <c r="Y60" i="1" s="1"/>
  <c r="Z60" i="1" s="1"/>
  <c r="W53" i="1"/>
  <c r="Y57" i="1"/>
  <c r="Z57" i="1" s="1"/>
  <c r="W61" i="1"/>
  <c r="Y61" i="1" s="1"/>
  <c r="Z61" i="1" s="1"/>
  <c r="S63" i="1"/>
  <c r="U63" i="1" s="1"/>
  <c r="V63" i="1" s="1"/>
  <c r="O59" i="1"/>
  <c r="Q59" i="1" s="1"/>
  <c r="R59" i="1" s="1"/>
  <c r="Q42" i="1"/>
  <c r="R42" i="1" s="1"/>
  <c r="M57" i="1"/>
  <c r="N57" i="1" s="1"/>
  <c r="Y32" i="1"/>
  <c r="Z32" i="1" s="1"/>
  <c r="U55" i="1"/>
  <c r="V55" i="1" s="1"/>
  <c r="W38" i="1"/>
  <c r="Y38" i="1" s="1"/>
  <c r="Z38" i="1" s="1"/>
  <c r="S34" i="1"/>
  <c r="U34" i="1" s="1"/>
  <c r="V34" i="1" s="1"/>
  <c r="O35" i="1"/>
  <c r="Q35" i="1" s="1"/>
  <c r="R35" i="1" s="1"/>
  <c r="G36" i="1"/>
  <c r="I36" i="1" s="1"/>
  <c r="O47" i="1"/>
  <c r="Q47" i="1" s="1"/>
  <c r="R47" i="1" s="1"/>
  <c r="W64" i="1"/>
  <c r="Y64" i="1" s="1"/>
  <c r="Z64" i="1" s="1"/>
  <c r="Y55" i="1"/>
  <c r="Z55" i="1" s="1"/>
  <c r="G62" i="1"/>
  <c r="I62" i="1" s="1"/>
  <c r="O61" i="1"/>
  <c r="Q61" i="1" s="1"/>
  <c r="R61" i="1" s="1"/>
  <c r="S59" i="1"/>
  <c r="U59" i="1" s="1"/>
  <c r="V59" i="1" s="1"/>
  <c r="Y42" i="1"/>
  <c r="Z42" i="1" s="1"/>
  <c r="M42" i="1"/>
  <c r="N42" i="1" s="1"/>
  <c r="U57" i="1"/>
  <c r="V57" i="1" s="1"/>
  <c r="O64" i="1"/>
  <c r="Q64" i="1" s="1"/>
  <c r="R64" i="1" s="1"/>
  <c r="G37" i="1"/>
  <c r="I37" i="1" s="1"/>
  <c r="G40" i="1"/>
  <c r="K61" i="1"/>
  <c r="M61" i="1" s="1"/>
  <c r="N61" i="1" s="1"/>
  <c r="K65" i="1"/>
  <c r="O37" i="1"/>
  <c r="Q37" i="1" s="1"/>
  <c r="R37" i="1" s="1"/>
  <c r="O40" i="1"/>
  <c r="S37" i="1"/>
  <c r="U37" i="1" s="1"/>
  <c r="V37" i="1" s="1"/>
  <c r="S40" i="1"/>
  <c r="D3" i="5"/>
  <c r="U42" i="1"/>
  <c r="V42" i="1" s="1"/>
  <c r="I32" i="1"/>
  <c r="W37" i="1"/>
  <c r="Y37" i="1" s="1"/>
  <c r="Z37" i="1" s="1"/>
  <c r="S38" i="1"/>
  <c r="U38" i="1" s="1"/>
  <c r="V38" i="1" s="1"/>
  <c r="O39" i="1"/>
  <c r="Q39" i="1" s="1"/>
  <c r="R39" i="1" s="1"/>
  <c r="O34" i="1"/>
  <c r="Q34" i="1" s="1"/>
  <c r="R34" i="1" s="1"/>
  <c r="K34" i="1"/>
  <c r="M34" i="1" s="1"/>
  <c r="N34" i="1" s="1"/>
  <c r="G35" i="1"/>
  <c r="I35" i="1" s="1"/>
  <c r="W49" i="1"/>
  <c r="Y49" i="1" s="1"/>
  <c r="Z49" i="1" s="1"/>
  <c r="S48" i="1"/>
  <c r="U48" i="1" s="1"/>
  <c r="V48" i="1" s="1"/>
  <c r="K48" i="1"/>
  <c r="M48" i="1" s="1"/>
  <c r="N48" i="1" s="1"/>
  <c r="K60" i="1"/>
  <c r="M60" i="1" s="1"/>
  <c r="N60" i="1" s="1"/>
  <c r="G49" i="1"/>
  <c r="I49" i="1" s="1"/>
  <c r="K49" i="1"/>
  <c r="M49" i="1" s="1"/>
  <c r="N49" i="1" s="1"/>
  <c r="K27" i="1"/>
  <c r="M27" i="1" s="1"/>
  <c r="N27" i="1" s="1"/>
  <c r="K30" i="1"/>
  <c r="O48" i="1"/>
  <c r="Q48" i="1" s="1"/>
  <c r="R48" i="1" s="1"/>
  <c r="S50" i="1"/>
  <c r="U50" i="1" s="1"/>
  <c r="V50" i="1" s="1"/>
  <c r="W50" i="1"/>
  <c r="Y50" i="1" s="1"/>
  <c r="Z50" i="1" s="1"/>
  <c r="W27" i="1"/>
  <c r="Y27" i="1" s="1"/>
  <c r="Z27" i="1" s="1"/>
  <c r="W30" i="1"/>
  <c r="G52" i="1"/>
  <c r="I52" i="1" s="1"/>
  <c r="G53" i="1"/>
  <c r="I57" i="1"/>
  <c r="G59" i="1"/>
  <c r="I59" i="1" s="1"/>
  <c r="G65" i="1"/>
  <c r="I65" i="1" s="1"/>
  <c r="O62" i="1"/>
  <c r="Q62" i="1" s="1"/>
  <c r="R62" i="1" s="1"/>
  <c r="O65" i="1"/>
  <c r="S62" i="1"/>
  <c r="U62" i="1" s="1"/>
  <c r="V62" i="1" s="1"/>
  <c r="S65" i="1"/>
  <c r="W65" i="1"/>
  <c r="Q32" i="1"/>
  <c r="R32" i="1" s="1"/>
  <c r="Q55" i="1"/>
  <c r="R55" i="1" s="1"/>
  <c r="I55" i="1"/>
  <c r="W36" i="1"/>
  <c r="Y36" i="1" s="1"/>
  <c r="Z36" i="1" s="1"/>
  <c r="S36" i="1"/>
  <c r="U36" i="1" s="1"/>
  <c r="V36" i="1" s="1"/>
  <c r="O38" i="1"/>
  <c r="Q38" i="1" s="1"/>
  <c r="R38" i="1" s="1"/>
  <c r="K38" i="1"/>
  <c r="M38" i="1" s="1"/>
  <c r="N38" i="1" s="1"/>
  <c r="G39" i="1"/>
  <c r="I39" i="1" s="1"/>
  <c r="G34" i="1"/>
  <c r="I34" i="1" s="1"/>
  <c r="O52" i="1"/>
  <c r="Q52" i="1" s="1"/>
  <c r="R52" i="1" s="1"/>
  <c r="W62" i="1"/>
  <c r="Y62" i="1" s="1"/>
  <c r="Z62" i="1" s="1"/>
  <c r="S64" i="1"/>
  <c r="U64" i="1" s="1"/>
  <c r="V64" i="1" s="1"/>
  <c r="K59" i="1"/>
  <c r="M59" i="1" s="1"/>
  <c r="N59" i="1" s="1"/>
  <c r="G61" i="1"/>
  <c r="I61" i="1" s="1"/>
  <c r="O60" i="1"/>
  <c r="Q60" i="1" s="1"/>
  <c r="R60" i="1" s="1"/>
  <c r="G11" i="1"/>
  <c r="I11" i="1" s="1"/>
  <c r="G14" i="1"/>
  <c r="I14" i="1" s="1"/>
  <c r="S11" i="1"/>
  <c r="U11" i="1" s="1"/>
  <c r="V11" i="1" s="1"/>
  <c r="S14" i="1"/>
  <c r="U14" i="1" s="1"/>
  <c r="V14" i="1" s="1"/>
  <c r="G69" i="1"/>
  <c r="I69" i="1" s="1"/>
  <c r="Y69" i="1"/>
  <c r="M68" i="1"/>
  <c r="N68" i="1" s="1"/>
  <c r="G25" i="1"/>
  <c r="I25" i="1" s="1"/>
  <c r="G29" i="1"/>
  <c r="I29" i="1" s="1"/>
  <c r="O25" i="1"/>
  <c r="Q25" i="1" s="1"/>
  <c r="R25" i="1" s="1"/>
  <c r="O29" i="1"/>
  <c r="Q29" i="1" s="1"/>
  <c r="R29" i="1" s="1"/>
  <c r="S25" i="1"/>
  <c r="U25" i="1" s="1"/>
  <c r="V25" i="1" s="1"/>
  <c r="S29" i="1"/>
  <c r="U29" i="1" s="1"/>
  <c r="V29" i="1" s="1"/>
  <c r="U45" i="1"/>
  <c r="V45" i="1" s="1"/>
  <c r="I45" i="1"/>
  <c r="W26" i="1"/>
  <c r="Y26" i="1" s="1"/>
  <c r="Z26" i="1" s="1"/>
  <c r="S27" i="1"/>
  <c r="U27" i="1" s="1"/>
  <c r="V27" i="1" s="1"/>
  <c r="O28" i="1"/>
  <c r="Q28" i="1" s="1"/>
  <c r="R28" i="1" s="1"/>
  <c r="K29" i="1"/>
  <c r="M29" i="1" s="1"/>
  <c r="N29" i="1" s="1"/>
  <c r="K24" i="1"/>
  <c r="M24" i="1" s="1"/>
  <c r="N24" i="1" s="1"/>
  <c r="G24" i="1"/>
  <c r="I24" i="1" s="1"/>
  <c r="W47" i="1"/>
  <c r="Y47" i="1" s="1"/>
  <c r="Z47" i="1" s="1"/>
  <c r="S52" i="1"/>
  <c r="U52" i="1" s="1"/>
  <c r="V52" i="1" s="1"/>
  <c r="S47" i="1"/>
  <c r="U47" i="1" s="1"/>
  <c r="V47" i="1" s="1"/>
  <c r="K52" i="1"/>
  <c r="M52" i="1" s="1"/>
  <c r="N52" i="1" s="1"/>
  <c r="K47" i="1"/>
  <c r="M47" i="1" s="1"/>
  <c r="N47" i="1" s="1"/>
  <c r="O51" i="1"/>
  <c r="Q51" i="1" s="1"/>
  <c r="R51" i="1" s="1"/>
  <c r="G47" i="1"/>
  <c r="I47" i="1" s="1"/>
  <c r="G51" i="1"/>
  <c r="I51" i="1" s="1"/>
  <c r="K46" i="1"/>
  <c r="M46" i="1" s="1"/>
  <c r="N46" i="1" s="1"/>
  <c r="K50" i="1"/>
  <c r="M50" i="1" s="1"/>
  <c r="N50" i="1" s="1"/>
  <c r="K8" i="1"/>
  <c r="M8" i="1" s="1"/>
  <c r="N8" i="1" s="1"/>
  <c r="K12" i="1"/>
  <c r="M12" i="1" s="1"/>
  <c r="N12" i="1" s="1"/>
  <c r="O50" i="1"/>
  <c r="Q50" i="1" s="1"/>
  <c r="R50" i="1" s="1"/>
  <c r="O9" i="1"/>
  <c r="Q9" i="1" s="1"/>
  <c r="R9" i="1" s="1"/>
  <c r="O13" i="1"/>
  <c r="Q13" i="1" s="1"/>
  <c r="R13" i="1" s="1"/>
  <c r="S49" i="1"/>
  <c r="U49" i="1" s="1"/>
  <c r="V49" i="1" s="1"/>
  <c r="W46" i="1"/>
  <c r="Y46" i="1" s="1"/>
  <c r="Z46" i="1" s="1"/>
  <c r="W48" i="1"/>
  <c r="Y48" i="1" s="1"/>
  <c r="Z48" i="1" s="1"/>
  <c r="W52" i="1"/>
  <c r="Y52" i="1" s="1"/>
  <c r="Z52" i="1" s="1"/>
  <c r="W8" i="1"/>
  <c r="Y8" i="1" s="1"/>
  <c r="Z8" i="1" s="1"/>
  <c r="W12" i="1"/>
  <c r="Y12" i="1" s="1"/>
  <c r="Z12" i="1" s="1"/>
  <c r="Y22" i="1"/>
  <c r="Z22" i="1" s="1"/>
  <c r="AB17" i="1"/>
  <c r="U22" i="1"/>
  <c r="V22" i="1" s="1"/>
  <c r="Q22" i="1"/>
  <c r="R22" i="1" s="1"/>
  <c r="K11" i="1"/>
  <c r="M11" i="1" s="1"/>
  <c r="N11" i="1" s="1"/>
  <c r="G13" i="1"/>
  <c r="I13" i="1" s="1"/>
  <c r="G8" i="1"/>
  <c r="I8" i="1" s="1"/>
  <c r="W25" i="1"/>
  <c r="Y25" i="1" s="1"/>
  <c r="Z25" i="1" s="1"/>
  <c r="S26" i="1"/>
  <c r="U26" i="1" s="1"/>
  <c r="V26" i="1" s="1"/>
  <c r="O27" i="1"/>
  <c r="Q27" i="1" s="1"/>
  <c r="R27" i="1" s="1"/>
  <c r="K28" i="1"/>
  <c r="M28" i="1" s="1"/>
  <c r="N28" i="1" s="1"/>
  <c r="G28" i="1"/>
  <c r="I28" i="1" s="1"/>
  <c r="W51" i="1"/>
  <c r="Y51" i="1" s="1"/>
  <c r="Z51" i="1" s="1"/>
  <c r="S51" i="1"/>
  <c r="U51" i="1" s="1"/>
  <c r="V51" i="1" s="1"/>
  <c r="K51" i="1"/>
  <c r="M51" i="1" s="1"/>
  <c r="G50" i="1"/>
  <c r="I50" i="1" s="1"/>
  <c r="O49" i="1"/>
  <c r="Q49" i="1" s="1"/>
  <c r="R49" i="1" s="1"/>
  <c r="S60" i="1"/>
  <c r="U60" i="1" s="1"/>
  <c r="V60" i="1" s="1"/>
  <c r="K63" i="1"/>
  <c r="M63" i="1" s="1"/>
  <c r="N63" i="1" s="1"/>
  <c r="O63" i="1"/>
  <c r="Q63" i="1" s="1"/>
  <c r="R63" i="1" s="1"/>
  <c r="AB20" i="1"/>
  <c r="I22" i="1"/>
  <c r="Q45" i="1"/>
  <c r="R45" i="1" s="1"/>
  <c r="W29" i="1"/>
  <c r="Y29" i="1" s="1"/>
  <c r="Z29" i="1" s="1"/>
  <c r="W24" i="1"/>
  <c r="Y24" i="1" s="1"/>
  <c r="Z24" i="1" s="1"/>
  <c r="S24" i="1"/>
  <c r="U24" i="1" s="1"/>
  <c r="V24" i="1" s="1"/>
  <c r="O26" i="1"/>
  <c r="Q26" i="1" s="1"/>
  <c r="R26" i="1" s="1"/>
  <c r="K26" i="1"/>
  <c r="M26" i="1" s="1"/>
  <c r="N26" i="1" s="1"/>
  <c r="G27" i="1"/>
  <c r="I27" i="1" s="1"/>
  <c r="G60" i="1"/>
  <c r="I60" i="1" s="1"/>
  <c r="G64" i="1"/>
  <c r="I64" i="1" s="1"/>
  <c r="K33" i="1"/>
  <c r="M33" i="1" s="1"/>
  <c r="N33" i="1" s="1"/>
  <c r="K35" i="1"/>
  <c r="M35" i="1" s="1"/>
  <c r="K39" i="1"/>
  <c r="M39" i="1" s="1"/>
  <c r="N39" i="1" s="1"/>
  <c r="W59" i="1"/>
  <c r="Y59" i="1" s="1"/>
  <c r="Z59" i="1" s="1"/>
  <c r="W63" i="1"/>
  <c r="Y63" i="1" s="1"/>
  <c r="Z63" i="1" s="1"/>
  <c r="W33" i="1"/>
  <c r="Y33" i="1" s="1"/>
  <c r="Z33" i="1" s="1"/>
  <c r="W35" i="1"/>
  <c r="Y35" i="1" s="1"/>
  <c r="Z35" i="1" s="1"/>
  <c r="W39" i="1"/>
  <c r="Y39" i="1" s="1"/>
  <c r="Z39" i="1" s="1"/>
  <c r="F3" i="5"/>
  <c r="AB18" i="1"/>
  <c r="AB6" i="1"/>
  <c r="AB19" i="1"/>
  <c r="G46" i="1"/>
  <c r="O46" i="1"/>
  <c r="Q69" i="1"/>
  <c r="R69" i="1" s="1"/>
  <c r="G58" i="1"/>
  <c r="G7" i="1"/>
  <c r="O58" i="1"/>
  <c r="O7" i="1"/>
  <c r="S58" i="1"/>
  <c r="S7" i="1"/>
  <c r="S21" i="1"/>
  <c r="S43" i="1" s="1"/>
  <c r="U61" i="1"/>
  <c r="V61" i="1" s="1"/>
  <c r="G33" i="1"/>
  <c r="K23" i="1"/>
  <c r="O33" i="1"/>
  <c r="S33" i="1"/>
  <c r="W23" i="1"/>
  <c r="U69" i="1"/>
  <c r="V69" i="1" s="1"/>
  <c r="K21" i="1"/>
  <c r="K43" i="1" s="1"/>
  <c r="G23" i="1"/>
  <c r="K58" i="1"/>
  <c r="K7" i="1"/>
  <c r="O23" i="1"/>
  <c r="S23" i="1"/>
  <c r="W58" i="1"/>
  <c r="W7" i="1"/>
  <c r="AC6" i="2"/>
  <c r="M69" i="1"/>
  <c r="N51" i="1"/>
  <c r="G21" i="1"/>
  <c r="O21" i="1"/>
  <c r="E3" i="5"/>
  <c r="S46" i="1"/>
  <c r="AA50" i="1" l="1"/>
  <c r="AA12" i="1"/>
  <c r="AB12" i="1" s="1"/>
  <c r="W31" i="1"/>
  <c r="W15" i="1"/>
  <c r="Y15" i="1" s="1"/>
  <c r="AA47" i="1"/>
  <c r="AA68" i="1"/>
  <c r="J27" i="1"/>
  <c r="AA27" i="1"/>
  <c r="AB27" i="1" s="1"/>
  <c r="J14" i="1"/>
  <c r="AA14" i="1"/>
  <c r="J34" i="1"/>
  <c r="AA34" i="1"/>
  <c r="AB34" i="1" s="1"/>
  <c r="J57" i="1"/>
  <c r="AA57" i="1"/>
  <c r="J37" i="1"/>
  <c r="AA37" i="1"/>
  <c r="AB37" i="1" s="1"/>
  <c r="AA38" i="1"/>
  <c r="G3" i="5"/>
  <c r="G4" i="5" s="1"/>
  <c r="J28" i="1"/>
  <c r="AA28" i="1"/>
  <c r="AB28" i="1" s="1"/>
  <c r="J45" i="1"/>
  <c r="AA45" i="1"/>
  <c r="J11" i="1"/>
  <c r="AA11" i="1"/>
  <c r="AB11" i="1" s="1"/>
  <c r="J39" i="1"/>
  <c r="AA39" i="1"/>
  <c r="AA9" i="1"/>
  <c r="AB9" i="1" s="1"/>
  <c r="AA64" i="1"/>
  <c r="AB64" i="1" s="1"/>
  <c r="AA8" i="1"/>
  <c r="J55" i="1"/>
  <c r="AA55" i="1"/>
  <c r="AB55" i="1" s="1"/>
  <c r="AA52" i="1"/>
  <c r="AB52" i="1" s="1"/>
  <c r="AA32" i="1"/>
  <c r="J48" i="1"/>
  <c r="AA48" i="1"/>
  <c r="AB48" i="1" s="1"/>
  <c r="AA16" i="1"/>
  <c r="AB16" i="1" s="1"/>
  <c r="W41" i="1"/>
  <c r="J25" i="1"/>
  <c r="AA25" i="1"/>
  <c r="AB25" i="1" s="1"/>
  <c r="J35" i="1"/>
  <c r="AA35" i="1"/>
  <c r="J26" i="1"/>
  <c r="AA26" i="1"/>
  <c r="AB26" i="1" s="1"/>
  <c r="AA42" i="1"/>
  <c r="AB42" i="1" s="1"/>
  <c r="J60" i="1"/>
  <c r="AA60" i="1"/>
  <c r="AA22" i="1"/>
  <c r="AB22" i="1" s="1"/>
  <c r="J13" i="1"/>
  <c r="AA13" i="1"/>
  <c r="J51" i="1"/>
  <c r="AA51" i="1"/>
  <c r="AA24" i="1"/>
  <c r="AB24" i="1" s="1"/>
  <c r="AA29" i="1"/>
  <c r="J61" i="1"/>
  <c r="AA61" i="1"/>
  <c r="AB61" i="1" s="1"/>
  <c r="J59" i="1"/>
  <c r="AA59" i="1"/>
  <c r="J49" i="1"/>
  <c r="AA49" i="1"/>
  <c r="J62" i="1"/>
  <c r="AA62" i="1"/>
  <c r="J36" i="1"/>
  <c r="AA36" i="1"/>
  <c r="AB36" i="1" s="1"/>
  <c r="J63" i="1"/>
  <c r="AA63" i="1"/>
  <c r="Z69" i="1"/>
  <c r="AA69" i="1"/>
  <c r="AB69" i="1" s="1"/>
  <c r="S15" i="1"/>
  <c r="U15" i="1" s="1"/>
  <c r="V15" i="1" s="1"/>
  <c r="G15" i="1"/>
  <c r="K66" i="1"/>
  <c r="M66" i="1" s="1"/>
  <c r="N66" i="1" s="1"/>
  <c r="AB49" i="1"/>
  <c r="W66" i="1"/>
  <c r="Y66" i="1" s="1"/>
  <c r="Z66" i="1" s="1"/>
  <c r="AB32" i="1"/>
  <c r="J32" i="1"/>
  <c r="K41" i="1"/>
  <c r="M41" i="1" s="1"/>
  <c r="N41" i="1" s="1"/>
  <c r="G66" i="1"/>
  <c r="I66" i="1" s="1"/>
  <c r="AB45" i="1"/>
  <c r="AB38" i="1"/>
  <c r="K15" i="1"/>
  <c r="M15" i="1" s="1"/>
  <c r="N15" i="1" s="1"/>
  <c r="O66" i="1"/>
  <c r="O67" i="1" s="1"/>
  <c r="Q67" i="1" s="1"/>
  <c r="AB57" i="1"/>
  <c r="AB13" i="1"/>
  <c r="M21" i="1"/>
  <c r="N21" i="1" s="1"/>
  <c r="AB68" i="1"/>
  <c r="U21" i="1"/>
  <c r="V21" i="1" s="1"/>
  <c r="AB14" i="1"/>
  <c r="J50" i="1"/>
  <c r="AB50" i="1"/>
  <c r="H3" i="5"/>
  <c r="J8" i="1"/>
  <c r="AB8" i="1"/>
  <c r="AB39" i="1"/>
  <c r="J22" i="1"/>
  <c r="O15" i="1"/>
  <c r="Q15" i="1" s="1"/>
  <c r="R15" i="1" s="1"/>
  <c r="N35" i="1"/>
  <c r="AB35" i="1"/>
  <c r="J24" i="1"/>
  <c r="AB59" i="1"/>
  <c r="J64" i="1"/>
  <c r="Y41" i="1"/>
  <c r="AB51" i="1"/>
  <c r="AB63" i="1"/>
  <c r="J47" i="1"/>
  <c r="AB47" i="1"/>
  <c r="J52" i="1"/>
  <c r="J29" i="1"/>
  <c r="AB29" i="1"/>
  <c r="O41" i="1"/>
  <c r="Q41" i="1" s="1"/>
  <c r="R41" i="1" s="1"/>
  <c r="S31" i="1"/>
  <c r="U31" i="1" s="1"/>
  <c r="V31" i="1" s="1"/>
  <c r="Y23" i="1"/>
  <c r="Z23" i="1" s="1"/>
  <c r="U33" i="1"/>
  <c r="V33" i="1" s="1"/>
  <c r="I58" i="1"/>
  <c r="O31" i="1"/>
  <c r="Q31" i="1" s="1"/>
  <c r="R31" i="1" s="1"/>
  <c r="Q23" i="1"/>
  <c r="R23" i="1" s="1"/>
  <c r="Q58" i="1"/>
  <c r="R58" i="1" s="1"/>
  <c r="I7" i="1"/>
  <c r="Q46" i="1"/>
  <c r="R46" i="1" s="1"/>
  <c r="I46" i="1"/>
  <c r="Y58" i="1"/>
  <c r="Z58" i="1" s="1"/>
  <c r="M58" i="1"/>
  <c r="N58" i="1" s="1"/>
  <c r="M23" i="1"/>
  <c r="N23" i="1" s="1"/>
  <c r="I33" i="1"/>
  <c r="U58" i="1"/>
  <c r="V58" i="1" s="1"/>
  <c r="Q7" i="1"/>
  <c r="R7" i="1" s="1"/>
  <c r="S41" i="1"/>
  <c r="U41" i="1" s="1"/>
  <c r="V41" i="1" s="1"/>
  <c r="K54" i="1"/>
  <c r="M54" i="1" s="1"/>
  <c r="N54" i="1" s="1"/>
  <c r="G41" i="1"/>
  <c r="I41" i="1" s="1"/>
  <c r="S66" i="1"/>
  <c r="S67" i="1" s="1"/>
  <c r="G31" i="1"/>
  <c r="I31" i="1" s="1"/>
  <c r="Y7" i="1"/>
  <c r="Z7" i="1" s="1"/>
  <c r="U23" i="1"/>
  <c r="V23" i="1" s="1"/>
  <c r="M7" i="1"/>
  <c r="N7" i="1" s="1"/>
  <c r="I23" i="1"/>
  <c r="Q33" i="1"/>
  <c r="R33" i="1" s="1"/>
  <c r="U7" i="1"/>
  <c r="V7" i="1" s="1"/>
  <c r="Y30" i="1"/>
  <c r="Z30" i="1" s="1"/>
  <c r="M30" i="1"/>
  <c r="N30" i="1" s="1"/>
  <c r="Y65" i="1"/>
  <c r="Z65" i="1" s="1"/>
  <c r="K31" i="1"/>
  <c r="M65" i="1"/>
  <c r="N65" i="1" s="1"/>
  <c r="W43" i="1"/>
  <c r="W54" i="1" s="1"/>
  <c r="Y21" i="1"/>
  <c r="U53" i="1"/>
  <c r="V53" i="1" s="1"/>
  <c r="I53" i="1"/>
  <c r="O43" i="1"/>
  <c r="Q21" i="1"/>
  <c r="R21" i="1" s="1"/>
  <c r="AB62" i="1"/>
  <c r="U43" i="1"/>
  <c r="V43" i="1" s="1"/>
  <c r="Y40" i="1"/>
  <c r="Z40" i="1" s="1"/>
  <c r="S54" i="1"/>
  <c r="R53" i="1"/>
  <c r="M40" i="1"/>
  <c r="N40" i="1" s="1"/>
  <c r="I21" i="1"/>
  <c r="G43" i="1"/>
  <c r="M43" i="1"/>
  <c r="N43" i="1" s="1"/>
  <c r="J69" i="1"/>
  <c r="N69" i="1"/>
  <c r="I15" i="1"/>
  <c r="U40" i="1"/>
  <c r="V40" i="1" s="1"/>
  <c r="M53" i="1"/>
  <c r="N53" i="1" s="1"/>
  <c r="I40" i="1"/>
  <c r="Q30" i="1"/>
  <c r="R30" i="1" s="1"/>
  <c r="Q65" i="1"/>
  <c r="R65" i="1" s="1"/>
  <c r="Y53" i="1"/>
  <c r="Z53" i="1" s="1"/>
  <c r="Q40" i="1"/>
  <c r="R40" i="1" s="1"/>
  <c r="U46" i="1"/>
  <c r="U30" i="1"/>
  <c r="V30" i="1" s="1"/>
  <c r="U65" i="1"/>
  <c r="V65" i="1" s="1"/>
  <c r="I30" i="1"/>
  <c r="AB60" i="1"/>
  <c r="K67" i="1" l="1"/>
  <c r="M67" i="1" s="1"/>
  <c r="N67" i="1" s="1"/>
  <c r="AA7" i="1"/>
  <c r="AB7" i="1" s="1"/>
  <c r="AA58" i="1"/>
  <c r="AA40" i="1"/>
  <c r="AB40" i="1" s="1"/>
  <c r="AA33" i="1"/>
  <c r="AB33" i="1" s="1"/>
  <c r="J46" i="1"/>
  <c r="AA46" i="1"/>
  <c r="AA65" i="1"/>
  <c r="AB65" i="1" s="1"/>
  <c r="AA30" i="1"/>
  <c r="AB30" i="1" s="1"/>
  <c r="AA53" i="1"/>
  <c r="AB53" i="1" s="1"/>
  <c r="AA23" i="1"/>
  <c r="AB23" i="1" s="1"/>
  <c r="W67" i="1"/>
  <c r="W70" i="1" s="1"/>
  <c r="Z41" i="1"/>
  <c r="AA41" i="1"/>
  <c r="Z15" i="1"/>
  <c r="AA15" i="1"/>
  <c r="Z21" i="1"/>
  <c r="AA21" i="1"/>
  <c r="AB21" i="1" s="1"/>
  <c r="U66" i="1"/>
  <c r="V66" i="1" s="1"/>
  <c r="Q66" i="1"/>
  <c r="R66" i="1" s="1"/>
  <c r="G67" i="1"/>
  <c r="I67" i="1" s="1"/>
  <c r="J67" i="1" s="1"/>
  <c r="K70" i="1"/>
  <c r="J23" i="1"/>
  <c r="J7" i="1"/>
  <c r="J33" i="1"/>
  <c r="J58" i="1"/>
  <c r="AB58" i="1"/>
  <c r="J40" i="1"/>
  <c r="J15" i="1"/>
  <c r="U54" i="1"/>
  <c r="V54" i="1" s="1"/>
  <c r="Y43" i="1"/>
  <c r="Y31" i="1"/>
  <c r="J31" i="1"/>
  <c r="V46" i="1"/>
  <c r="AB46" i="1"/>
  <c r="J65" i="1"/>
  <c r="I43" i="1"/>
  <c r="G54" i="1"/>
  <c r="J53" i="1"/>
  <c r="U67" i="1"/>
  <c r="S70" i="1"/>
  <c r="R67" i="1"/>
  <c r="J41" i="1"/>
  <c r="J66" i="1"/>
  <c r="J21" i="1"/>
  <c r="J30" i="1"/>
  <c r="Q43" i="1"/>
  <c r="R43" i="1" s="1"/>
  <c r="O54" i="1"/>
  <c r="M31" i="1"/>
  <c r="N31" i="1" s="1"/>
  <c r="N70" i="1" s="1"/>
  <c r="K72" i="1" l="1"/>
  <c r="K78" i="1" s="1"/>
  <c r="K71" i="1"/>
  <c r="K77" i="1"/>
  <c r="N71" i="1"/>
  <c r="N72" i="1"/>
  <c r="N77" i="1" s="1"/>
  <c r="N78" i="1"/>
  <c r="S71" i="1"/>
  <c r="S78" i="1"/>
  <c r="S72" i="1"/>
  <c r="S77" i="1" s="1"/>
  <c r="W72" i="1"/>
  <c r="W78" i="1" s="1"/>
  <c r="Y67" i="1"/>
  <c r="AA67" i="1" s="1"/>
  <c r="AB67" i="1" s="1"/>
  <c r="W71" i="1"/>
  <c r="AA66" i="1"/>
  <c r="W75" i="1"/>
  <c r="Z31" i="1"/>
  <c r="AA31" i="1"/>
  <c r="AB31" i="1" s="1"/>
  <c r="Z43" i="1"/>
  <c r="AA43" i="1"/>
  <c r="AB43" i="1" s="1"/>
  <c r="AB66" i="1"/>
  <c r="AB15" i="1"/>
  <c r="J43" i="1"/>
  <c r="AB41" i="1"/>
  <c r="Q54" i="1"/>
  <c r="O70" i="1"/>
  <c r="M70" i="1"/>
  <c r="V67" i="1"/>
  <c r="V70" i="1" s="1"/>
  <c r="U70" i="1"/>
  <c r="I54" i="1"/>
  <c r="G70" i="1"/>
  <c r="Y54" i="1"/>
  <c r="O71" i="1" l="1"/>
  <c r="O72" i="1"/>
  <c r="O77" i="1" s="1"/>
  <c r="U71" i="1"/>
  <c r="U72" i="1"/>
  <c r="U78" i="1" s="1"/>
  <c r="U77" i="1"/>
  <c r="V72" i="1"/>
  <c r="V77" i="1" s="1"/>
  <c r="V71" i="1"/>
  <c r="G77" i="1"/>
  <c r="G72" i="1"/>
  <c r="G78" i="1"/>
  <c r="G71" i="1"/>
  <c r="M72" i="1"/>
  <c r="M77" i="1" s="1"/>
  <c r="M71" i="1"/>
  <c r="M78" i="1"/>
  <c r="Z67" i="1"/>
  <c r="Y70" i="1"/>
  <c r="Y71" i="1" s="1"/>
  <c r="W77" i="1"/>
  <c r="W73" i="1"/>
  <c r="W74" i="1"/>
  <c r="AA54" i="1"/>
  <c r="N73" i="1"/>
  <c r="J54" i="1"/>
  <c r="I70" i="1"/>
  <c r="Z54" i="1"/>
  <c r="Z70" i="1" s="1"/>
  <c r="R54" i="1"/>
  <c r="R70" i="1" s="1"/>
  <c r="Q70" i="1"/>
  <c r="R72" i="1" l="1"/>
  <c r="R78" i="1" s="1"/>
  <c r="R71" i="1"/>
  <c r="R77" i="1"/>
  <c r="O78" i="1"/>
  <c r="Q71" i="1"/>
  <c r="Q78" i="1"/>
  <c r="Q72" i="1"/>
  <c r="Q77" i="1" s="1"/>
  <c r="Z72" i="1"/>
  <c r="I77" i="1"/>
  <c r="I72" i="1"/>
  <c r="I78" i="1" s="1"/>
  <c r="I71" i="1"/>
  <c r="V78" i="1"/>
  <c r="Y72" i="1"/>
  <c r="Y77" i="1" s="1"/>
  <c r="O73" i="1"/>
  <c r="AA70" i="1"/>
  <c r="W76" i="1"/>
  <c r="W79" i="1" s="1"/>
  <c r="Z71" i="1"/>
  <c r="N74" i="1"/>
  <c r="N75" i="1"/>
  <c r="V73" i="1"/>
  <c r="M75" i="1"/>
  <c r="AB54" i="1"/>
  <c r="U75" i="1"/>
  <c r="J70" i="1"/>
  <c r="J72" i="1" l="1"/>
  <c r="J77" i="1" s="1"/>
  <c r="J71" i="1"/>
  <c r="Z77" i="1"/>
  <c r="Y78" i="1"/>
  <c r="Y75" i="1" s="1"/>
  <c r="Z74" i="1"/>
  <c r="AA71" i="1"/>
  <c r="W80" i="1"/>
  <c r="AA72" i="1"/>
  <c r="AA78" i="1"/>
  <c r="M73" i="1"/>
  <c r="V75" i="1"/>
  <c r="V74" i="1"/>
  <c r="U73" i="1"/>
  <c r="U74" i="1"/>
  <c r="R74" i="1"/>
  <c r="M74" i="1"/>
  <c r="K73" i="1"/>
  <c r="K74" i="1"/>
  <c r="K75" i="1"/>
  <c r="I75" i="1"/>
  <c r="N76" i="1"/>
  <c r="N79" i="1" s="1"/>
  <c r="N80" i="1" s="1"/>
  <c r="M84" i="1" s="1"/>
  <c r="G75" i="1"/>
  <c r="Q75" i="1"/>
  <c r="AB70" i="1"/>
  <c r="Y73" i="1" l="1"/>
  <c r="J78" i="1"/>
  <c r="AA77" i="1"/>
  <c r="AA75" i="1"/>
  <c r="Z73" i="1"/>
  <c r="X70" i="1"/>
  <c r="X71" i="1"/>
  <c r="X79" i="1"/>
  <c r="Y74" i="1"/>
  <c r="G73" i="1"/>
  <c r="M76" i="1"/>
  <c r="M79" i="1" s="1"/>
  <c r="M80" i="1" s="1"/>
  <c r="AB71" i="1"/>
  <c r="U76" i="1"/>
  <c r="U79" i="1" s="1"/>
  <c r="U80" i="1" s="1"/>
  <c r="V76" i="1"/>
  <c r="V79" i="1" s="1"/>
  <c r="V80" i="1" s="1"/>
  <c r="U84" i="1" s="1"/>
  <c r="Z75" i="1"/>
  <c r="R73" i="1"/>
  <c r="R75" i="1"/>
  <c r="I74" i="1"/>
  <c r="I73" i="1"/>
  <c r="AB72" i="1"/>
  <c r="S75" i="1"/>
  <c r="S73" i="1"/>
  <c r="S74" i="1"/>
  <c r="Q73" i="1"/>
  <c r="Q74" i="1"/>
  <c r="G74" i="1"/>
  <c r="J75" i="1"/>
  <c r="K76" i="1"/>
  <c r="AA73" i="1" l="1"/>
  <c r="Y76" i="1"/>
  <c r="Y79" i="1" s="1"/>
  <c r="Y80" i="1" s="1"/>
  <c r="AA74" i="1"/>
  <c r="I76" i="1"/>
  <c r="I79" i="1" s="1"/>
  <c r="I80" i="1" s="1"/>
  <c r="Z76" i="1"/>
  <c r="Z79" i="1" s="1"/>
  <c r="Z80" i="1" s="1"/>
  <c r="R76" i="1"/>
  <c r="R79" i="1" s="1"/>
  <c r="R80" i="1" s="1"/>
  <c r="Q84" i="1" s="1"/>
  <c r="Q76" i="1"/>
  <c r="Q79" i="1" s="1"/>
  <c r="Q80" i="1" s="1"/>
  <c r="J73" i="1"/>
  <c r="J74" i="1"/>
  <c r="AB77" i="1"/>
  <c r="S76" i="1"/>
  <c r="K79" i="1"/>
  <c r="AA76" i="1" l="1"/>
  <c r="J76" i="1"/>
  <c r="J79" i="1" s="1"/>
  <c r="J80" i="1" s="1"/>
  <c r="I81" i="1" s="1"/>
  <c r="AB74" i="1"/>
  <c r="AB75" i="1"/>
  <c r="K80" i="1"/>
  <c r="L77" i="1" s="1"/>
  <c r="S79" i="1"/>
  <c r="S80" i="1" s="1"/>
  <c r="G76" i="1"/>
  <c r="AB78" i="1"/>
  <c r="AA80" i="1" l="1"/>
  <c r="AA79" i="1"/>
  <c r="L79" i="1"/>
  <c r="AB73" i="1"/>
  <c r="G79" i="1"/>
  <c r="G80" i="1" s="1"/>
  <c r="H71" i="1" s="1"/>
  <c r="J4" i="2"/>
  <c r="L80" i="1"/>
  <c r="L14" i="1"/>
  <c r="L9" i="1"/>
  <c r="L11" i="1"/>
  <c r="L33" i="1"/>
  <c r="L24" i="1"/>
  <c r="L39" i="1"/>
  <c r="L45" i="1"/>
  <c r="L26" i="1"/>
  <c r="L44" i="1"/>
  <c r="L25" i="1"/>
  <c r="L48" i="1"/>
  <c r="L59" i="1"/>
  <c r="L10" i="1"/>
  <c r="L12" i="1"/>
  <c r="L51" i="1"/>
  <c r="L6" i="1"/>
  <c r="L35" i="1"/>
  <c r="L32" i="1"/>
  <c r="L49" i="1"/>
  <c r="L64" i="1"/>
  <c r="L68" i="1"/>
  <c r="L20" i="1"/>
  <c r="L17" i="1"/>
  <c r="L46" i="1"/>
  <c r="L8" i="1"/>
  <c r="L36" i="1"/>
  <c r="L47" i="1"/>
  <c r="L62" i="1"/>
  <c r="L27" i="1"/>
  <c r="L50" i="1"/>
  <c r="L38" i="1"/>
  <c r="L18" i="1"/>
  <c r="L60" i="1"/>
  <c r="L22" i="1"/>
  <c r="L37" i="1"/>
  <c r="L16" i="1"/>
  <c r="L55" i="1"/>
  <c r="L13" i="1"/>
  <c r="L28" i="1"/>
  <c r="L56" i="1"/>
  <c r="L19" i="1"/>
  <c r="L61" i="1"/>
  <c r="L34" i="1"/>
  <c r="L69" i="1"/>
  <c r="L57" i="1"/>
  <c r="L29" i="1"/>
  <c r="L52" i="1"/>
  <c r="L63" i="1"/>
  <c r="L42" i="1"/>
  <c r="L41" i="1"/>
  <c r="L30" i="1"/>
  <c r="L43" i="1"/>
  <c r="L21" i="1"/>
  <c r="L58" i="1"/>
  <c r="L23" i="1"/>
  <c r="L65" i="1"/>
  <c r="L15" i="1"/>
  <c r="L53" i="1"/>
  <c r="L40" i="1"/>
  <c r="L66" i="1"/>
  <c r="L7" i="1"/>
  <c r="L31" i="1"/>
  <c r="L67" i="1"/>
  <c r="L70" i="1"/>
  <c r="L54" i="1"/>
  <c r="L71" i="1"/>
  <c r="L72" i="1"/>
  <c r="L78" i="1"/>
  <c r="L74" i="1"/>
  <c r="L75" i="1"/>
  <c r="L73" i="1"/>
  <c r="L76" i="1"/>
  <c r="H40" i="1" l="1"/>
  <c r="H53" i="1"/>
  <c r="T4" i="2"/>
  <c r="T80" i="1"/>
  <c r="T11" i="1"/>
  <c r="T25" i="1"/>
  <c r="T19" i="1"/>
  <c r="T63" i="1"/>
  <c r="T37" i="1"/>
  <c r="T49" i="1"/>
  <c r="T20" i="1"/>
  <c r="T16" i="1"/>
  <c r="T61" i="1"/>
  <c r="T32" i="1"/>
  <c r="T17" i="1"/>
  <c r="T38" i="1"/>
  <c r="T59" i="1"/>
  <c r="T18" i="1"/>
  <c r="T62" i="1"/>
  <c r="T6" i="1"/>
  <c r="T68" i="1"/>
  <c r="T52" i="1"/>
  <c r="T39" i="1"/>
  <c r="T51" i="1"/>
  <c r="T64" i="1"/>
  <c r="T13" i="1"/>
  <c r="T12" i="1"/>
  <c r="T14" i="1"/>
  <c r="T28" i="1"/>
  <c r="T34" i="1"/>
  <c r="T44" i="1"/>
  <c r="T56" i="1"/>
  <c r="T57" i="1"/>
  <c r="T36" i="1"/>
  <c r="T48" i="1"/>
  <c r="T55" i="1"/>
  <c r="T35" i="1"/>
  <c r="T69" i="1"/>
  <c r="T47" i="1"/>
  <c r="T60" i="1"/>
  <c r="T9" i="1"/>
  <c r="T8" i="1"/>
  <c r="T29" i="1"/>
  <c r="T10" i="1"/>
  <c r="T24" i="1"/>
  <c r="T26" i="1"/>
  <c r="T50" i="1"/>
  <c r="T22" i="1"/>
  <c r="T42" i="1"/>
  <c r="T27" i="1"/>
  <c r="T45" i="1"/>
  <c r="T15" i="1"/>
  <c r="T21" i="1"/>
  <c r="T53" i="1"/>
  <c r="T40" i="1"/>
  <c r="T65" i="1"/>
  <c r="T58" i="1"/>
  <c r="T23" i="1"/>
  <c r="T7" i="1"/>
  <c r="T30" i="1"/>
  <c r="T33" i="1"/>
  <c r="T43" i="1"/>
  <c r="T46" i="1"/>
  <c r="T67" i="1"/>
  <c r="T66" i="1"/>
  <c r="T54" i="1"/>
  <c r="T41" i="1"/>
  <c r="T31" i="1"/>
  <c r="T70" i="1"/>
  <c r="T71" i="1"/>
  <c r="T72" i="1"/>
  <c r="T77" i="1"/>
  <c r="T78" i="1"/>
  <c r="T74" i="1"/>
  <c r="T73" i="1"/>
  <c r="T75" i="1"/>
  <c r="T76" i="1"/>
  <c r="K5" i="2"/>
  <c r="L5" i="2" s="1"/>
  <c r="K4" i="2"/>
  <c r="H79" i="1"/>
  <c r="T79" i="1"/>
  <c r="AB76" i="1"/>
  <c r="AB80" i="1" l="1"/>
  <c r="AC76" i="1" s="1"/>
  <c r="AB79" i="1"/>
  <c r="E4" i="2"/>
  <c r="H80" i="1"/>
  <c r="H34" i="1"/>
  <c r="H48" i="1"/>
  <c r="H61" i="1"/>
  <c r="H22" i="1"/>
  <c r="H25" i="1"/>
  <c r="H51" i="1"/>
  <c r="H64" i="1"/>
  <c r="H57" i="1"/>
  <c r="H36" i="1"/>
  <c r="H50" i="1"/>
  <c r="H63" i="1"/>
  <c r="H55" i="1"/>
  <c r="H68" i="1"/>
  <c r="H35" i="1"/>
  <c r="H49" i="1"/>
  <c r="H12" i="1"/>
  <c r="H14" i="1"/>
  <c r="H26" i="1"/>
  <c r="H16" i="1"/>
  <c r="H47" i="1"/>
  <c r="H60" i="1"/>
  <c r="H42" i="1"/>
  <c r="H28" i="1"/>
  <c r="H19" i="1"/>
  <c r="H59" i="1"/>
  <c r="H27" i="1"/>
  <c r="H18" i="1"/>
  <c r="H13" i="1"/>
  <c r="H10" i="1"/>
  <c r="H37" i="1"/>
  <c r="H24" i="1"/>
  <c r="H32" i="1"/>
  <c r="H62" i="1"/>
  <c r="H11" i="1"/>
  <c r="H8" i="1"/>
  <c r="H38" i="1"/>
  <c r="H52" i="1"/>
  <c r="H44" i="1"/>
  <c r="H29" i="1"/>
  <c r="H6" i="1"/>
  <c r="H20" i="1"/>
  <c r="H17" i="1"/>
  <c r="H9" i="1"/>
  <c r="H39" i="1"/>
  <c r="H69" i="1"/>
  <c r="H56" i="1"/>
  <c r="H45" i="1"/>
  <c r="H30" i="1"/>
  <c r="H66" i="1"/>
  <c r="H7" i="1"/>
  <c r="H46" i="1"/>
  <c r="H21" i="1"/>
  <c r="H23" i="1"/>
  <c r="H15" i="1"/>
  <c r="H58" i="1"/>
  <c r="H65" i="1"/>
  <c r="H33" i="1"/>
  <c r="H43" i="1"/>
  <c r="H67" i="1"/>
  <c r="H31" i="1"/>
  <c r="H41" i="1"/>
  <c r="H54" i="1"/>
  <c r="H70" i="1"/>
  <c r="H72" i="1"/>
  <c r="H77" i="1"/>
  <c r="H78" i="1"/>
  <c r="H73" i="1"/>
  <c r="H74" i="1"/>
  <c r="H75" i="1"/>
  <c r="H76" i="1"/>
  <c r="U5" i="2"/>
  <c r="V5" i="2" s="1"/>
  <c r="U4" i="2"/>
  <c r="K6" i="2"/>
  <c r="L4" i="2"/>
  <c r="L6" i="2" s="1"/>
  <c r="Y4" i="2"/>
  <c r="Z5" i="2" s="1"/>
  <c r="AA5" i="2" s="1"/>
  <c r="X80" i="1"/>
  <c r="X14" i="1"/>
  <c r="X13" i="1"/>
  <c r="X46" i="1"/>
  <c r="X36" i="1"/>
  <c r="X6" i="1"/>
  <c r="X59" i="1"/>
  <c r="X38" i="1"/>
  <c r="X47" i="1"/>
  <c r="X22" i="1"/>
  <c r="X37" i="1"/>
  <c r="X19" i="1"/>
  <c r="X61" i="1"/>
  <c r="X10" i="1"/>
  <c r="X9" i="1"/>
  <c r="X11" i="1"/>
  <c r="X26" i="1"/>
  <c r="X28" i="1"/>
  <c r="X49" i="1"/>
  <c r="X52" i="1"/>
  <c r="X34" i="1"/>
  <c r="X62" i="1"/>
  <c r="X57" i="1"/>
  <c r="X29" i="1"/>
  <c r="X12" i="1"/>
  <c r="X27" i="1"/>
  <c r="X33" i="1"/>
  <c r="X24" i="1"/>
  <c r="X18" i="1"/>
  <c r="X64" i="1"/>
  <c r="X39" i="1"/>
  <c r="X48" i="1"/>
  <c r="X45" i="1"/>
  <c r="X69" i="1"/>
  <c r="X56" i="1"/>
  <c r="X44" i="1"/>
  <c r="X68" i="1"/>
  <c r="X20" i="1"/>
  <c r="X25" i="1"/>
  <c r="X55" i="1"/>
  <c r="X17" i="1"/>
  <c r="X8" i="1"/>
  <c r="X60" i="1"/>
  <c r="X35" i="1"/>
  <c r="X16" i="1"/>
  <c r="X63" i="1"/>
  <c r="X32" i="1"/>
  <c r="X51" i="1"/>
  <c r="X50" i="1"/>
  <c r="X42" i="1"/>
  <c r="X23" i="1"/>
  <c r="X66" i="1"/>
  <c r="X30" i="1"/>
  <c r="X41" i="1"/>
  <c r="X53" i="1"/>
  <c r="X40" i="1"/>
  <c r="X65" i="1"/>
  <c r="X21" i="1"/>
  <c r="X58" i="1"/>
  <c r="X15" i="1"/>
  <c r="X7" i="1"/>
  <c r="X43" i="1"/>
  <c r="X67" i="1"/>
  <c r="X31" i="1"/>
  <c r="X54" i="1"/>
  <c r="X72" i="1"/>
  <c r="X77" i="1"/>
  <c r="X78" i="1"/>
  <c r="X73" i="1"/>
  <c r="X74" i="1"/>
  <c r="X75" i="1"/>
  <c r="X76" i="1"/>
  <c r="AC79" i="1" l="1"/>
  <c r="Z4" i="2"/>
  <c r="Z6" i="2" s="1"/>
  <c r="U6" i="2"/>
  <c r="V4" i="2"/>
  <c r="V6" i="2" s="1"/>
  <c r="F4" i="2"/>
  <c r="F5" i="2"/>
  <c r="AC80" i="1"/>
  <c r="AC29" i="1"/>
  <c r="AC39" i="1"/>
  <c r="AC68" i="1"/>
  <c r="AC56" i="1"/>
  <c r="AC24" i="1"/>
  <c r="AC17" i="1"/>
  <c r="AC8" i="1"/>
  <c r="AC20" i="1"/>
  <c r="AC34" i="1"/>
  <c r="AC55" i="1"/>
  <c r="AC42" i="1"/>
  <c r="AC32" i="1"/>
  <c r="AC47" i="1"/>
  <c r="AC59" i="1"/>
  <c r="AC52" i="1"/>
  <c r="AC35" i="1"/>
  <c r="AC16" i="1"/>
  <c r="AC64" i="1"/>
  <c r="AC57" i="1"/>
  <c r="AC22" i="1"/>
  <c r="AC11" i="1"/>
  <c r="AC26" i="1"/>
  <c r="AC50" i="1"/>
  <c r="AC37" i="1"/>
  <c r="AC25" i="1"/>
  <c r="AC44" i="1"/>
  <c r="AC28" i="1"/>
  <c r="AC36" i="1"/>
  <c r="AC9" i="1"/>
  <c r="AC10" i="1"/>
  <c r="AC49" i="1"/>
  <c r="AC63" i="1"/>
  <c r="AC19" i="1"/>
  <c r="AC61" i="1"/>
  <c r="AC18" i="1"/>
  <c r="AC45" i="1"/>
  <c r="AC51" i="1"/>
  <c r="AC38" i="1"/>
  <c r="AC27" i="1"/>
  <c r="AC14" i="1"/>
  <c r="AC12" i="1"/>
  <c r="AC13" i="1"/>
  <c r="AC60" i="1"/>
  <c r="AC69" i="1"/>
  <c r="AC48" i="1"/>
  <c r="AC62" i="1"/>
  <c r="AC21" i="1"/>
  <c r="AC33" i="1"/>
  <c r="AC58" i="1"/>
  <c r="AC53" i="1"/>
  <c r="AC65" i="1"/>
  <c r="AC7" i="1"/>
  <c r="AC66" i="1"/>
  <c r="AC40" i="1"/>
  <c r="AC23" i="1"/>
  <c r="AC15" i="1"/>
  <c r="AC46" i="1"/>
  <c r="AC67" i="1"/>
  <c r="AC30" i="1"/>
  <c r="AC31" i="1"/>
  <c r="AC41" i="1"/>
  <c r="AC43" i="1"/>
  <c r="AC54" i="1"/>
  <c r="AC70" i="1"/>
  <c r="AC71" i="1"/>
  <c r="AC72" i="1"/>
  <c r="AC77" i="1"/>
  <c r="AC75" i="1"/>
  <c r="AC78" i="1"/>
  <c r="AC74" i="1"/>
  <c r="AC6" i="1"/>
  <c r="AC73" i="1"/>
  <c r="AA4" i="2" l="1"/>
  <c r="AA6" i="2" s="1"/>
  <c r="Z85" i="1" s="1"/>
  <c r="G5" i="2"/>
  <c r="G4" i="2"/>
  <c r="F6" i="2"/>
  <c r="G6" i="2" l="1"/>
  <c r="O75" i="1" l="1"/>
  <c r="O74" i="1"/>
  <c r="O76" i="1" l="1"/>
  <c r="O79" i="1" l="1"/>
  <c r="O80" i="1" l="1"/>
  <c r="P79" i="1" s="1"/>
  <c r="O4" i="2" l="1"/>
  <c r="P49" i="1"/>
  <c r="P71" i="1"/>
  <c r="P36" i="1"/>
  <c r="P27" i="1"/>
  <c r="P77" i="1"/>
  <c r="P61" i="1"/>
  <c r="P72" i="1"/>
  <c r="P39" i="1"/>
  <c r="P44" i="1"/>
  <c r="P43" i="1"/>
  <c r="P68" i="1"/>
  <c r="P6" i="1"/>
  <c r="P34" i="1"/>
  <c r="P46" i="1"/>
  <c r="P31" i="1"/>
  <c r="P60" i="1"/>
  <c r="P69" i="1"/>
  <c r="P14" i="1"/>
  <c r="P41" i="1"/>
  <c r="P54" i="1"/>
  <c r="P67" i="1"/>
  <c r="P19" i="1"/>
  <c r="P25" i="1"/>
  <c r="P80" i="1"/>
  <c r="P10" i="1"/>
  <c r="P55" i="1"/>
  <c r="P57" i="1"/>
  <c r="P62" i="1"/>
  <c r="P7" i="1"/>
  <c r="P18" i="1"/>
  <c r="P33" i="1"/>
  <c r="P29" i="1"/>
  <c r="P28" i="1"/>
  <c r="P58" i="1"/>
  <c r="P24" i="1"/>
  <c r="P42" i="1"/>
  <c r="P23" i="1"/>
  <c r="P45" i="1"/>
  <c r="P20" i="1"/>
  <c r="P52" i="1"/>
  <c r="P26" i="1"/>
  <c r="P13" i="1"/>
  <c r="P47" i="1"/>
  <c r="P16" i="1"/>
  <c r="P66" i="1"/>
  <c r="P63" i="1"/>
  <c r="P35" i="1"/>
  <c r="P17" i="1"/>
  <c r="P48" i="1"/>
  <c r="P53" i="1"/>
  <c r="P51" i="1"/>
  <c r="P32" i="1"/>
  <c r="P22" i="1"/>
  <c r="P12" i="1"/>
  <c r="P30" i="1"/>
  <c r="P37" i="1"/>
  <c r="P64" i="1"/>
  <c r="P50" i="1"/>
  <c r="P78" i="1"/>
  <c r="P65" i="1"/>
  <c r="P40" i="1"/>
  <c r="P11" i="1"/>
  <c r="P38" i="1"/>
  <c r="P70" i="1"/>
  <c r="P21" i="1"/>
  <c r="P56" i="1"/>
  <c r="P9" i="1"/>
  <c r="P15" i="1"/>
  <c r="P8" i="1"/>
  <c r="P59" i="1"/>
  <c r="P75" i="1"/>
  <c r="P74" i="1"/>
  <c r="P73" i="1"/>
  <c r="P76" i="1"/>
  <c r="P5" i="2" l="1"/>
  <c r="AD5" i="2" s="1"/>
  <c r="P4" i="2"/>
  <c r="AD4" i="2" s="1"/>
  <c r="Q5" i="2" l="1"/>
  <c r="P6" i="2"/>
  <c r="Q4" i="2"/>
  <c r="Q6" i="2" l="1"/>
  <c r="AE5" i="2"/>
  <c r="AF5" i="2"/>
  <c r="AE4" i="2"/>
  <c r="AF4" i="2"/>
  <c r="AD6" i="2"/>
  <c r="AF6" i="2" l="1"/>
  <c r="AE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Vieira Ribeiro</author>
  </authors>
  <commentList>
    <comment ref="I4" authorId="0" shapeId="0" xr:uid="{00000000-0006-0000-0000-00000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Piso salarial CCT 2020 SEAC/DF x Sindiserviços/DF.</t>
        </r>
      </text>
    </comment>
    <comment ref="M4" authorId="0" shapeId="0" xr:uid="{00000000-0006-0000-0000-000002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Base 126 contratos - média valores cargos serviço apoio administrativo menos um desvio padrão.</t>
        </r>
      </text>
    </comment>
    <comment ref="Q4" authorId="0" shapeId="0" xr:uid="{00000000-0006-0000-0000-000003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Sindiserviços/DF.
</t>
        </r>
      </text>
    </comment>
    <comment ref="U4" authorId="0" shapeId="0" xr:uid="{00000000-0006-0000-0000-000004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SISDF. 
</t>
        </r>
      </text>
    </comment>
    <comment ref="Y4" authorId="0" shapeId="0" xr:uid="{00000000-0006-0000-0000-00000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SISDF. 
</t>
        </r>
      </text>
    </comment>
    <comment ref="E6" authorId="0" shapeId="0" xr:uid="{00000000-0006-0000-0000-000006000000}">
      <text>
        <r>
          <rPr>
            <b/>
            <sz val="10"/>
            <color rgb="FF000000"/>
            <rFont val="Tahoma"/>
            <family val="2"/>
          </rPr>
          <t xml:space="preserve">Fábio Vieira Ribeio
</t>
        </r>
        <r>
          <rPr>
            <sz val="10"/>
            <color rgb="FF000000"/>
            <rFont val="Tahoma"/>
            <family val="2"/>
          </rPr>
          <t xml:space="preserve">Considerado prazo de execução de 28 meses de execução dos serviços e 60 dias de férias no periodo. </t>
        </r>
      </text>
    </comment>
    <comment ref="D7" authorId="0" shapeId="0" xr:uid="{00000000-0006-0000-0000-000007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8.036/1990.</t>
        </r>
      </text>
    </comment>
    <comment ref="D8" authorId="0" shapeId="0" xr:uid="{00000000-0006-0000-0000-000008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</t>
        </r>
      </text>
    </comment>
    <comment ref="D9" authorId="0" shapeId="0" xr:uid="{00000000-0006-0000-0000-000009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 </t>
        </r>
      </text>
    </comment>
    <comment ref="D10" authorId="0" shapeId="0" xr:uid="{00000000-0006-0000-0000-00000A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1" authorId="0" shapeId="0" xr:uid="{00000000-0006-0000-0000-00000B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2" authorId="0" shapeId="0" xr:uid="{00000000-0006-0000-0000-00000C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3" authorId="0" shapeId="0" xr:uid="{00000000-0006-0000-0000-00000D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4" authorId="0" shapeId="0" xr:uid="{00000000-0006-0000-0000-00000E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CNAE.</t>
        </r>
      </text>
    </comment>
    <comment ref="B16" authorId="0" shapeId="0" xr:uid="{00000000-0006-0000-0000-00000F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Valores das CCT 2020 SEAC/DF x Sindiserviços/DF e CCT 2020 SEAC/DF x SISDF.</t>
        </r>
      </text>
    </comment>
    <comment ref="E17" authorId="0" shapeId="0" xr:uid="{00000000-0006-0000-0000-000010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diário.</t>
        </r>
      </text>
    </comment>
    <comment ref="E19" authorId="0" shapeId="0" xr:uid="{00000000-0006-0000-0000-000011000000}">
      <text>
        <r>
          <rPr>
            <b/>
            <sz val="10"/>
            <color rgb="FF000000"/>
            <rFont val="Tahoma"/>
            <family val="2"/>
          </rPr>
          <t xml:space="preserve">Fábio Vieira Ribeiro
</t>
        </r>
        <r>
          <rPr>
            <sz val="10"/>
            <color rgb="FF000000"/>
            <rFont val="Tahoma"/>
            <family val="2"/>
          </rPr>
          <t>Valor da CCT 2020 SEAC/DF x Sindiserviços/DF.</t>
        </r>
      </text>
    </comment>
    <comment ref="F19" authorId="0" shapeId="0" xr:uid="{00000000-0006-0000-0000-000012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da CCT 2020 SEAC/DF x SISDF.
</t>
        </r>
      </text>
    </comment>
    <comment ref="D20" authorId="0" shapeId="0" xr:uid="{00000000-0006-0000-0000-000013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conforme Decreto no 40.381/2020, do DF, e percentuais da nota do GDF "REAJUSTE DO TRANSPORTE PÚBLICO: ENTENDA CADA TARIFA" (http://www.brasilia.df.gov.br/reajuste-do-transporte-publico-entenda-cada-tarifa/).</t>
        </r>
      </text>
    </comment>
    <comment ref="E20" authorId="0" shapeId="0" xr:uid="{00000000-0006-0000-0000-000014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diário para cada passagem.
</t>
        </r>
      </text>
    </comment>
    <comment ref="B22" authorId="0" shapeId="0" xr:uid="{00000000-0006-0000-0000-00001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Observado o prazo de execução dos serviços de 28 meses, considerada a quantidade de 70 dias de férias no período.</t>
        </r>
      </text>
    </comment>
    <comment ref="B42" authorId="0" shapeId="0" xr:uid="{00000000-0006-0000-0000-000016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Considerada a necessidade se substituição de empregado alocado ausente por período superior a 3 dias, no caso do serviço de recepção, ou 15 dias, nos casos de serviços de apoio administrativo e secretariado, sendo estabelecidas as estimativas de 28,1028 e 26,6339 dias de ausências anuais que necessitarão substituição, respectivamente, tendo como base os parâmetros do Estudo sobre a Composição dos Custos dos Valores Limites Serviços de Limpeza e Conservação - Distrito Federal - 2019, que na página 20 apresenta o quadro "Memória de Cálculo - Número de dias de reposição do profissional ausente para cada evento".</t>
        </r>
      </text>
    </comment>
    <comment ref="B55" authorId="0" shapeId="0" xr:uid="{00000000-0006-0000-0000-000017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Considerada a necessidade rescisão sem justa causa do contrato de trabalho de 85,43% dos empregados alocados, sendo 21,36% com indenização de aviso prévio, estimado em 33 dias, tendo como base os parâmetros do Estudo sobre a Composição dos Custos dos Valores Limites Serviços de Limpeza e Conservação - Distrito Federal - 2019, que na página 36 apresenta o quadro "Percentuais por Tipo de Desligamento". </t>
        </r>
      </text>
    </comment>
    <comment ref="E68" authorId="0" shapeId="0" xr:uid="{00000000-0006-0000-0000-000018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de 1 uniforme, correspondente à média dos valores de cada jogo de uniforme dos contratos vigentes menos 1 desvio padrão ajustada em 3,2% (reajuste CCT 2020/2020), considerado o prazo de execução dos serviços e as CCT 2020/2020 firmadas entre o SEAC/DF e o Sindiserviços e o SEAC/DF e o SISDF, sendo que a primeira prevê 2 jogos de unformes no início da alocação do empregado e 1 jogo completo a cada 6 meses (6 no total) e a segunda prevê 2 jogos no início e 2 jogos a cada 6 meses (10 no total). </t>
        </r>
      </text>
    </comment>
    <comment ref="E71" authorId="0" shapeId="0" xr:uid="{00000000-0006-0000-0000-000019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Correspondente à média dos contratos vigentes.</t>
        </r>
      </text>
    </comment>
    <comment ref="E73" authorId="0" shapeId="0" xr:uid="{00000000-0006-0000-0000-00001A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Adotando-se a sistemática de cálculo "por dentro", a Base Tributos considera os custos com os empregados, os custos indiretos e o lucro, observadas as disposições da Lei </t>
        </r>
        <r>
          <rPr>
            <sz val="10"/>
            <color rgb="FF000000"/>
            <rFont val="Calibri"/>
            <family val="2"/>
          </rPr>
          <t>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</t>
        </r>
        <r>
          <rPr>
            <sz val="10"/>
            <color rgb="FF000000"/>
            <rFont val="Tahoma"/>
            <family val="2"/>
          </rPr>
          <t>10.833/2003.</t>
        </r>
      </text>
    </comment>
    <comment ref="E74" authorId="0" shapeId="0" xr:uid="{00000000-0006-0000-0000-00001B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>Adotando-se a sistemática de cálculo "por dentro", a</t>
        </r>
        <r>
          <rPr>
            <sz val="10"/>
            <color rgb="FF000000"/>
            <rFont val="Calibri"/>
            <family val="2"/>
          </rPr>
          <t xml:space="preserve"> Base Tributos considera os custos com os empregados, os custos indiretos e o lucro, observadas as disposições da Decreto DF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25.508/2005. </t>
        </r>
      </text>
    </comment>
    <comment ref="E75" authorId="0" shapeId="0" xr:uid="{00000000-0006-0000-0000-00001C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 xml:space="preserve">Adotando-se a sistemática de cálculo "por dentro", </t>
        </r>
        <r>
          <rPr>
            <sz val="10"/>
            <color rgb="FF000000"/>
            <rFont val="Calibri"/>
            <family val="2"/>
          </rPr>
          <t>a</t>
        </r>
        <r>
          <rPr>
            <sz val="10"/>
            <color rgb="FF000000"/>
            <rFont val="Calibri"/>
            <family val="2"/>
          </rPr>
          <t xml:space="preserve"> Base Tributos considera os custos com os empregados, os custos indiretos e o lucro, observadas as disposições da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10.637/2002. 
</t>
        </r>
      </text>
    </comment>
    <comment ref="E77" authorId="0" shapeId="0" xr:uid="{00000000-0006-0000-0000-00001D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Correspondente à média dos contratos vigentes.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Vieira Ribeiro</author>
  </authors>
  <commentList>
    <comment ref="G4" authorId="0" shapeId="0" xr:uid="{00000000-0006-0000-0200-00000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Reajuste de 3,2% (CCT 2020/2020)</t>
        </r>
      </text>
    </comment>
  </commentList>
</comments>
</file>

<file path=xl/sharedStrings.xml><?xml version="1.0" encoding="utf-8"?>
<sst xmlns="http://schemas.openxmlformats.org/spreadsheetml/2006/main" count="489" uniqueCount="234">
  <si>
    <t>Descrição</t>
  </si>
  <si>
    <t>A</t>
  </si>
  <si>
    <t>Salário</t>
  </si>
  <si>
    <t>B</t>
  </si>
  <si>
    <t>C</t>
  </si>
  <si>
    <t>D</t>
  </si>
  <si>
    <t>E</t>
  </si>
  <si>
    <t>Subtotal</t>
  </si>
  <si>
    <t>F</t>
  </si>
  <si>
    <t>FGTS</t>
  </si>
  <si>
    <t>G</t>
  </si>
  <si>
    <t>H</t>
  </si>
  <si>
    <t>Previdência Social</t>
  </si>
  <si>
    <t>I</t>
  </si>
  <si>
    <t>Salário Educação</t>
  </si>
  <si>
    <t>J</t>
  </si>
  <si>
    <t>GIIL-RAT</t>
  </si>
  <si>
    <t>K</t>
  </si>
  <si>
    <t>L</t>
  </si>
  <si>
    <t>M</t>
  </si>
  <si>
    <t>N</t>
  </si>
  <si>
    <t>O</t>
  </si>
  <si>
    <t>Assistência Odontológica</t>
  </si>
  <si>
    <t>P</t>
  </si>
  <si>
    <t>Auxílio Alimentação</t>
  </si>
  <si>
    <t>Q</t>
  </si>
  <si>
    <t>Plano de Saúde</t>
  </si>
  <si>
    <t>R</t>
  </si>
  <si>
    <t>Seguro de Vida/Assistência Funeral</t>
  </si>
  <si>
    <t>Vale-transporte</t>
  </si>
  <si>
    <t>T</t>
  </si>
  <si>
    <t>U</t>
  </si>
  <si>
    <t>Rescisão de Contrato</t>
  </si>
  <si>
    <t>V</t>
  </si>
  <si>
    <t>W</t>
  </si>
  <si>
    <t>Y</t>
  </si>
  <si>
    <t>Auxiliar Administrativo</t>
  </si>
  <si>
    <t>Assistente Administrativo</t>
  </si>
  <si>
    <t>Recepcionista</t>
  </si>
  <si>
    <t>Secretário Executivo I</t>
  </si>
  <si>
    <t>Secretário Executivo II</t>
  </si>
  <si>
    <t>13º Salário</t>
  </si>
  <si>
    <t>Aviso Prévio Indenizado</t>
  </si>
  <si>
    <t>Multa FGTS</t>
  </si>
  <si>
    <t>Z</t>
  </si>
  <si>
    <t>%</t>
  </si>
  <si>
    <t>13º Salário - Aviso Prévio Indenizado</t>
  </si>
  <si>
    <t>AA</t>
  </si>
  <si>
    <t>AB</t>
  </si>
  <si>
    <t>Grupo</t>
  </si>
  <si>
    <t>Benefícios</t>
  </si>
  <si>
    <t>Postos</t>
  </si>
  <si>
    <t>Total</t>
  </si>
  <si>
    <t>Uniforme</t>
  </si>
  <si>
    <t>AC</t>
  </si>
  <si>
    <t>AD</t>
  </si>
  <si>
    <t>Custos Indiretos</t>
  </si>
  <si>
    <t>AE</t>
  </si>
  <si>
    <t>AF</t>
  </si>
  <si>
    <t>AG</t>
  </si>
  <si>
    <t>AH</t>
  </si>
  <si>
    <t>AI</t>
  </si>
  <si>
    <t>COFINS</t>
  </si>
  <si>
    <t>PIS</t>
  </si>
  <si>
    <t>ISS</t>
  </si>
  <si>
    <t>AJ</t>
  </si>
  <si>
    <t>AK</t>
  </si>
  <si>
    <t>AL</t>
  </si>
  <si>
    <t>Lucro</t>
  </si>
  <si>
    <t>Total Geral</t>
  </si>
  <si>
    <t>CITL</t>
  </si>
  <si>
    <t>A*8%</t>
  </si>
  <si>
    <t>A*20%</t>
  </si>
  <si>
    <t>A*2,5%</t>
  </si>
  <si>
    <t>Férias</t>
  </si>
  <si>
    <t>Item</t>
  </si>
  <si>
    <t>Substituição Temporária</t>
  </si>
  <si>
    <t>Pagamento</t>
  </si>
  <si>
    <t>Fato Gerador</t>
  </si>
  <si>
    <t>AM</t>
  </si>
  <si>
    <t>AN</t>
  </si>
  <si>
    <t>Salário/12/28</t>
  </si>
  <si>
    <t>(Salário + Salário/3)/12/28</t>
  </si>
  <si>
    <t>Mensal</t>
  </si>
  <si>
    <t>Mensal e Fato Gerador</t>
  </si>
  <si>
    <t>AO</t>
  </si>
  <si>
    <t>AP</t>
  </si>
  <si>
    <t>Subtotal Custo Empregados</t>
  </si>
  <si>
    <t>AQ</t>
  </si>
  <si>
    <t>AR</t>
  </si>
  <si>
    <t>AS</t>
  </si>
  <si>
    <t>AT</t>
  </si>
  <si>
    <t>AU</t>
  </si>
  <si>
    <t>AV</t>
  </si>
  <si>
    <t>AW</t>
  </si>
  <si>
    <t>Subtotal CITL</t>
  </si>
  <si>
    <t>Lote</t>
  </si>
  <si>
    <t>Data Contratação</t>
  </si>
  <si>
    <t>Cargos</t>
  </si>
  <si>
    <t>INCRA</t>
  </si>
  <si>
    <t>MD</t>
  </si>
  <si>
    <t>Anatel</t>
  </si>
  <si>
    <t>Salário/28*26</t>
  </si>
  <si>
    <t>Salário/30*70/28</t>
  </si>
  <si>
    <t>Parâmetros Cálculo Custo Mensal</t>
  </si>
  <si>
    <t>(Salário+Salário/3)/12/28</t>
  </si>
  <si>
    <t>Férias  - Aviso Prévio Indenizado</t>
  </si>
  <si>
    <t>((Salário/30*33)*21,36%)/28</t>
  </si>
  <si>
    <t>(Salário+Salário/3)/30*70/28</t>
  </si>
  <si>
    <t>AY</t>
  </si>
  <si>
    <t>AZ</t>
  </si>
  <si>
    <t>BA</t>
  </si>
  <si>
    <t>Valor (R$)</t>
  </si>
  <si>
    <t>-</t>
  </si>
  <si>
    <t>Quantidade</t>
  </si>
  <si>
    <t>SENAC</t>
  </si>
  <si>
    <t>SESC</t>
  </si>
  <si>
    <t>SEBRAE</t>
  </si>
  <si>
    <t>A*0,2%</t>
  </si>
  <si>
    <t>A*1%</t>
  </si>
  <si>
    <t>A*1,5%</t>
  </si>
  <si>
    <t>A*0,6%</t>
  </si>
  <si>
    <t>A+B+C+D+E+F+G+H+I</t>
  </si>
  <si>
    <t>K+L+M+N+O</t>
  </si>
  <si>
    <t>S</t>
  </si>
  <si>
    <t>Q*8%</t>
  </si>
  <si>
    <t>Q*20%</t>
  </si>
  <si>
    <t>Q*0,2%</t>
  </si>
  <si>
    <t>Q*1%</t>
  </si>
  <si>
    <t>Q*1,5%</t>
  </si>
  <si>
    <t>Q*0,6%</t>
  </si>
  <si>
    <t>Q*2,5%</t>
  </si>
  <si>
    <t>Q+R+S+T+U+U+V+W+Y+Z</t>
  </si>
  <si>
    <t>AB+AC+AD+AE+AF+AG+AH+AI+AJ</t>
  </si>
  <si>
    <t>AB*8%</t>
  </si>
  <si>
    <t>AB*20%</t>
  </si>
  <si>
    <t>AB*2,5%</t>
  </si>
  <si>
    <t>AB*O,2%</t>
  </si>
  <si>
    <t>AB*1%</t>
  </si>
  <si>
    <t>AB*1,5%</t>
  </si>
  <si>
    <t>AB*0,6%</t>
  </si>
  <si>
    <t>AL+AM+AN+AO+AP+AQ+AR+AS+AT+AU+AV+AW</t>
  </si>
  <si>
    <t>(AL+AN+AO)*8%</t>
  </si>
  <si>
    <t>(AL+AN+AO)*20%</t>
  </si>
  <si>
    <t>(AL+AN+AO)*O,2%</t>
  </si>
  <si>
    <t>(AL+AN+AO)*1%</t>
  </si>
  <si>
    <t>(AL+AN+AO)*1,5%</t>
  </si>
  <si>
    <t>(AL+AN+AO)*0,6%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</si>
  <si>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</si>
  <si>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</si>
  <si>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</si>
  <si>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</si>
  <si>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</si>
  <si>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</si>
  <si>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</si>
  <si>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</si>
  <si>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</si>
  <si>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</si>
  <si>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</si>
  <si>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AZ+BA+BB+BC+BD+BE+BF+BG+BH+BI+BJ+BK</t>
  </si>
  <si>
    <t>(AZ+BB)*8%</t>
  </si>
  <si>
    <t>(AZ+BB)*20%</t>
  </si>
  <si>
    <t>(AZ+BB)*2,5%</t>
  </si>
  <si>
    <t>(AZ+BB)*O,2%</t>
  </si>
  <si>
    <t>(AZ+BB)*1%</t>
  </si>
  <si>
    <t>(AZ+BB)*1,5%</t>
  </si>
  <si>
    <t>(AZ+BB)*0,6%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</si>
  <si>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</si>
  <si>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</si>
  <si>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</si>
  <si>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</si>
  <si>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</si>
  <si>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</si>
  <si>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</si>
  <si>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</si>
  <si>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</si>
  <si>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</si>
  <si>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BQ+BR+BS</t>
  </si>
  <si>
    <t>Salário/30*((26,6339 ou 28,1028)*28/12)/28</t>
  </si>
  <si>
    <t>P/30*((26,6339 ou 28,1028)*28/12)/28</t>
  </si>
  <si>
    <t>Apoio Administrativo</t>
  </si>
  <si>
    <t>((B+R+AC+AP+BC)*40%)*85,43%</t>
  </si>
  <si>
    <t>Valor Uniforme</t>
  </si>
  <si>
    <t>Média</t>
  </si>
  <si>
    <t>Mediana</t>
  </si>
  <si>
    <t>Desvio Padrão</t>
  </si>
  <si>
    <t>Média - Desvio Padrão</t>
  </si>
  <si>
    <t>Mediana - Desvio Padrão</t>
  </si>
  <si>
    <t>Valor Mensal</t>
  </si>
  <si>
    <t>Serviço</t>
  </si>
  <si>
    <t>Recepção</t>
  </si>
  <si>
    <t>Secretariado</t>
  </si>
  <si>
    <t>Uniforme - Valores (R$)</t>
  </si>
  <si>
    <t>Órgão ou Entidade</t>
  </si>
  <si>
    <t>Valor do Posto (R$)</t>
  </si>
  <si>
    <t>Unidade</t>
  </si>
  <si>
    <t>Anual                      (12 meses)</t>
  </si>
  <si>
    <t>Total                       (28 meses)</t>
  </si>
  <si>
    <t>Subtotal Mensal (R$)</t>
  </si>
  <si>
    <t>Subtotal 28 Meses (R$)</t>
  </si>
  <si>
    <t>Posto</t>
  </si>
  <si>
    <t>Valor Mensal Unitário (R$)</t>
  </si>
  <si>
    <t>Valor Mensal Total (R$)</t>
  </si>
  <si>
    <t>Valor Total (R$)</t>
  </si>
  <si>
    <t>Valor  Total (R$)</t>
  </si>
  <si>
    <t>Base Tributos * 5,00%</t>
  </si>
  <si>
    <t>Planilha de Custos e Formação de Preços</t>
  </si>
  <si>
    <t xml:space="preserve">Sugere-se que a orientação da SEGES "Orientações sobre PIS e COFINS em contratações de prestação de serviços, com dedicação exclusiva de mão de obra", abaixo transcrita, disponível em https://www.gov.br/compras/pt-br/acesso-a-informacao/noticias/orientacoes-incidencia-nao-cumulativa-pis-cofins,  seja apresentada com uma nota do Quadro 8 do modelo de proposta, Anexo II do Edital. </t>
  </si>
  <si>
    <t>"Secretaria de Gestão orienta os órgãos e entidades integrantes do Sistema de Serviços Gerais (Sisg) sobre o aproveitamento de créditos tributários nas contratações de prestação de serviços continuados, com dedicação exclusiva de mão de obra, celebradas com empresas optantes pelo regime de lucro real (com direito à incidência não cumulativa de contribuições ao PIS e COFINS).
Na elaboração dos termos de referência e editais, os órgãos e entidades deverão exigir que os licitantes, quando tributados pelo regime de incidência não-cumulativa de PIS e COFINS, cotem na planilha de custos e formação de preços (que detalham os componentes dos seus custos) as alíquotas médias efetivamente recolhidas dessas contribuições.
Isso porque as empresas submetidas a tal regime, conforme normativos vigentes(1), podem realizar o abatimento de créditos apurados com base em custos, despesas e encargos, tais como insumos, aluguéis de máquinas e equipamentos, vale transporte, dentre outros, fazendo com que os valores dos tributos efetivamente recolhidos sejam inferiores às alíquotas de 1,65% (PIS) e 7,60% (COFINS).
Para a comprovação das alíquotas médias efetivas, poderão ser exigidos os documentos de Escrituração Fiscal Digital da Contribuição (EFD-Contribuições) para o PIS/PASEP e COFINS dos últimos 12 (doze) meses anteriores à apresentação da proposta, ou outro meio hábil, em que seja possível demonstrar as alíquotas médias efetivas.
A comprovação das alíquotas médias efetivas deverá ser feita no momento da repactuação ou da renovação contratual a fim de se promover os ajustes necessários decorrentes das oscilações dos custos efetivos de PIS e COFINS.</t>
  </si>
  <si>
    <t>Base Tributos * 0,88%</t>
  </si>
  <si>
    <t>Base Tributos * 0,20%</t>
  </si>
  <si>
    <t>UNIFORME ( AUXILIAR ADMINISTRATIVO, ASSISTENTE ADMNINISTRATIVO, RECEPACIONAISTA E RECEPCIONISTA BILINGUE</t>
  </si>
  <si>
    <t>Descrição do Uniforme</t>
  </si>
  <si>
    <t>Valor Unitário</t>
  </si>
  <si>
    <t>Camisa - Cor Branca, manga longa e tecido como o minimo de 50% de fibras naturais</t>
  </si>
  <si>
    <t>Sapato - Cor preto e de couro</t>
  </si>
  <si>
    <t>Meia - Cor preta e de tecido poliéster ou poliamida</t>
  </si>
  <si>
    <t>Valor total por empregado</t>
  </si>
  <si>
    <t>Valor mensal por empregado</t>
  </si>
  <si>
    <t>VALOR MÉDIO POR CONJUNTO DE UNIFORME</t>
  </si>
  <si>
    <t>(AL+AN+AO)*2,5%</t>
  </si>
  <si>
    <t>A*2,029%</t>
  </si>
  <si>
    <t>UNIFORME (SECRETARIADO I, SECRETARIADO II E TÉCNICO EM SECRETARIADO)</t>
  </si>
  <si>
    <t>Valor total</t>
  </si>
  <si>
    <t>Quantidade total</t>
  </si>
  <si>
    <t>Q*2,0290%</t>
  </si>
  <si>
    <t>AB*2,0290%</t>
  </si>
  <si>
    <t>(AL+AN+AO)*2,0290%</t>
  </si>
  <si>
    <t>(AZ+BB)*2,0290%</t>
  </si>
  <si>
    <t>Quantidade TOTAL</t>
  </si>
  <si>
    <t>Calça ou Saia - Cor preta e tecido poliviscose</t>
  </si>
  <si>
    <t>BU =(Subtotal custo empregados + BP)</t>
  </si>
  <si>
    <t>(Subtotal Custo Empregados + BP) * Lucro</t>
  </si>
  <si>
    <t>Subtotal Custo Empregados * % De Custo Estimado pela Empresa (Variavel)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</si>
</sst>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  <numFmt numFmtId="165" formatCode="0.0000"/>
    <numFmt numFmtId="166" formatCode="#,##0.0000_ ;[Red]\-#,##0.0000\ "/>
    <numFmt numFmtId="167" formatCode="dd/mm/yy;@"/>
  </numFmts>
  <fonts count="19" x14ac:knownFonts="1">
    <font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6"/>
      <color theme="1"/>
      <name val="Arial"/>
      <family val="2"/>
    </font>
    <font>
      <sz val="12"/>
      <color rgb="FF555555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4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233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0" fontId="8" fillId="0" borderId="0" xfId="0" applyFont="1"/>
    <xf numFmtId="4" fontId="8" fillId="0" borderId="0" xfId="0" applyNumberFormat="1" applyFont="1"/>
    <xf numFmtId="4" fontId="8" fillId="0" borderId="1" xfId="0" applyNumberFormat="1" applyFont="1" applyBorder="1"/>
    <xf numFmtId="0" fontId="7" fillId="3" borderId="1" xfId="0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vertical="center"/>
    </xf>
    <xf numFmtId="8" fontId="8" fillId="0" borderId="0" xfId="0" applyNumberFormat="1" applyFont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2" fillId="0" borderId="0" xfId="0" applyFont="1"/>
    <xf numFmtId="10" fontId="9" fillId="0" borderId="1" xfId="0" applyNumberFormat="1" applyFont="1" applyFill="1" applyBorder="1" applyAlignment="1">
      <alignment horizontal="right" vertical="center"/>
    </xf>
    <xf numFmtId="10" fontId="6" fillId="3" borderId="1" xfId="0" applyNumberFormat="1" applyFont="1" applyFill="1" applyBorder="1" applyAlignment="1">
      <alignment horizontal="right" vertical="center"/>
    </xf>
    <xf numFmtId="10" fontId="9" fillId="4" borderId="1" xfId="0" applyNumberFormat="1" applyFont="1" applyFill="1" applyBorder="1" applyAlignment="1">
      <alignment horizontal="right" vertical="center"/>
    </xf>
    <xf numFmtId="10" fontId="8" fillId="0" borderId="1" xfId="0" applyNumberFormat="1" applyFont="1" applyBorder="1" applyAlignment="1">
      <alignment vertical="center"/>
    </xf>
    <xf numFmtId="10" fontId="7" fillId="3" borderId="1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167" fontId="6" fillId="3" borderId="1" xfId="0" applyNumberFormat="1" applyFont="1" applyFill="1" applyBorder="1" applyAlignment="1">
      <alignment horizontal="center" vertical="center" textRotation="90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15" fillId="5" borderId="0" xfId="0" applyNumberFormat="1" applyFont="1" applyFill="1" applyAlignment="1">
      <alignment vertical="center"/>
    </xf>
    <xf numFmtId="0" fontId="7" fillId="3" borderId="17" xfId="0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18" xfId="0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/>
    </xf>
    <xf numFmtId="4" fontId="8" fillId="0" borderId="18" xfId="0" applyNumberFormat="1" applyFont="1" applyBorder="1"/>
    <xf numFmtId="0" fontId="8" fillId="0" borderId="17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/>
    </xf>
    <xf numFmtId="0" fontId="8" fillId="0" borderId="17" xfId="0" applyFont="1" applyBorder="1" applyAlignment="1">
      <alignment horizontal="left" wrapText="1"/>
    </xf>
    <xf numFmtId="4" fontId="8" fillId="5" borderId="19" xfId="0" applyNumberFormat="1" applyFont="1" applyFill="1" applyBorder="1"/>
    <xf numFmtId="4" fontId="7" fillId="7" borderId="1" xfId="0" applyNumberFormat="1" applyFont="1" applyFill="1" applyBorder="1" applyAlignment="1">
      <alignment vertical="center"/>
    </xf>
    <xf numFmtId="10" fontId="7" fillId="7" borderId="1" xfId="0" applyNumberFormat="1" applyFont="1" applyFill="1" applyBorder="1" applyAlignment="1">
      <alignment vertical="center"/>
    </xf>
    <xf numFmtId="4" fontId="8" fillId="7" borderId="1" xfId="0" applyNumberFormat="1" applyFont="1" applyFill="1" applyBorder="1" applyAlignment="1">
      <alignment vertical="center"/>
    </xf>
    <xf numFmtId="10" fontId="8" fillId="7" borderId="1" xfId="0" applyNumberFormat="1" applyFont="1" applyFill="1" applyBorder="1" applyAlignment="1">
      <alignment vertical="center"/>
    </xf>
    <xf numFmtId="4" fontId="11" fillId="7" borderId="1" xfId="0" applyNumberFormat="1" applyFont="1" applyFill="1" applyBorder="1" applyAlignment="1">
      <alignment vertical="center"/>
    </xf>
    <xf numFmtId="10" fontId="11" fillId="7" borderId="1" xfId="0" applyNumberFormat="1" applyFont="1" applyFill="1" applyBorder="1" applyAlignment="1">
      <alignment vertical="center"/>
    </xf>
    <xf numFmtId="44" fontId="8" fillId="0" borderId="0" xfId="2" applyFont="1" applyAlignment="1">
      <alignment vertical="center"/>
    </xf>
    <xf numFmtId="4" fontId="11" fillId="6" borderId="1" xfId="0" applyNumberFormat="1" applyFont="1" applyFill="1" applyBorder="1" applyAlignment="1">
      <alignment vertical="center"/>
    </xf>
    <xf numFmtId="10" fontId="11" fillId="6" borderId="1" xfId="0" applyNumberFormat="1" applyFont="1" applyFill="1" applyBorder="1" applyAlignment="1">
      <alignment vertical="center"/>
    </xf>
    <xf numFmtId="4" fontId="10" fillId="6" borderId="1" xfId="0" applyNumberFormat="1" applyFont="1" applyFill="1" applyBorder="1" applyAlignment="1">
      <alignment vertical="center"/>
    </xf>
    <xf numFmtId="10" fontId="10" fillId="6" borderId="1" xfId="0" applyNumberFormat="1" applyFont="1" applyFill="1" applyBorder="1" applyAlignment="1">
      <alignment vertical="center"/>
    </xf>
    <xf numFmtId="4" fontId="7" fillId="8" borderId="1" xfId="0" applyNumberFormat="1" applyFont="1" applyFill="1" applyBorder="1" applyAlignment="1">
      <alignment vertical="center"/>
    </xf>
    <xf numFmtId="10" fontId="7" fillId="8" borderId="1" xfId="0" applyNumberFormat="1" applyFont="1" applyFill="1" applyBorder="1" applyAlignment="1">
      <alignment vertical="center"/>
    </xf>
    <xf numFmtId="4" fontId="8" fillId="8" borderId="1" xfId="0" applyNumberFormat="1" applyFont="1" applyFill="1" applyBorder="1" applyAlignment="1">
      <alignment vertical="center"/>
    </xf>
    <xf numFmtId="10" fontId="8" fillId="8" borderId="1" xfId="0" applyNumberFormat="1" applyFont="1" applyFill="1" applyBorder="1" applyAlignment="1">
      <alignment vertical="center"/>
    </xf>
    <xf numFmtId="4" fontId="11" fillId="8" borderId="1" xfId="0" applyNumberFormat="1" applyFont="1" applyFill="1" applyBorder="1" applyAlignment="1">
      <alignment vertical="center"/>
    </xf>
    <xf numFmtId="10" fontId="11" fillId="8" borderId="1" xfId="0" applyNumberFormat="1" applyFont="1" applyFill="1" applyBorder="1" applyAlignment="1">
      <alignment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vertical="center"/>
    </xf>
    <xf numFmtId="4" fontId="8" fillId="9" borderId="1" xfId="0" applyNumberFormat="1" applyFont="1" applyFill="1" applyBorder="1" applyAlignment="1">
      <alignment horizontal="right" vertical="center"/>
    </xf>
    <xf numFmtId="10" fontId="8" fillId="9" borderId="1" xfId="0" applyNumberFormat="1" applyFont="1" applyFill="1" applyBorder="1" applyAlignment="1">
      <alignment horizontal="right" vertical="center"/>
    </xf>
    <xf numFmtId="4" fontId="10" fillId="9" borderId="1" xfId="0" applyNumberFormat="1" applyFont="1" applyFill="1" applyBorder="1" applyAlignment="1">
      <alignment horizontal="right" vertical="center"/>
    </xf>
    <xf numFmtId="10" fontId="10" fillId="9" borderId="1" xfId="0" applyNumberFormat="1" applyFont="1" applyFill="1" applyBorder="1" applyAlignment="1">
      <alignment horizontal="right" vertical="center"/>
    </xf>
    <xf numFmtId="4" fontId="8" fillId="9" borderId="1" xfId="0" applyNumberFormat="1" applyFont="1" applyFill="1" applyBorder="1" applyAlignment="1">
      <alignment vertical="center"/>
    </xf>
    <xf numFmtId="10" fontId="8" fillId="9" borderId="1" xfId="0" applyNumberFormat="1" applyFont="1" applyFill="1" applyBorder="1" applyAlignment="1">
      <alignment vertical="center"/>
    </xf>
    <xf numFmtId="0" fontId="8" fillId="9" borderId="0" xfId="0" applyFont="1" applyFill="1" applyAlignment="1">
      <alignment vertical="center"/>
    </xf>
    <xf numFmtId="4" fontId="8" fillId="9" borderId="0" xfId="0" applyNumberFormat="1" applyFont="1" applyFill="1" applyAlignment="1">
      <alignment vertical="center"/>
    </xf>
    <xf numFmtId="4" fontId="7" fillId="6" borderId="1" xfId="0" applyNumberFormat="1" applyFont="1" applyFill="1" applyBorder="1" applyAlignment="1">
      <alignment vertical="center"/>
    </xf>
    <xf numFmtId="10" fontId="7" fillId="6" borderId="1" xfId="0" applyNumberFormat="1" applyFont="1" applyFill="1" applyBorder="1" applyAlignment="1">
      <alignment vertical="center"/>
    </xf>
    <xf numFmtId="4" fontId="8" fillId="6" borderId="1" xfId="0" applyNumberFormat="1" applyFont="1" applyFill="1" applyBorder="1" applyAlignment="1">
      <alignment vertical="center"/>
    </xf>
    <xf numFmtId="10" fontId="8" fillId="6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horizontal="center" vertical="center" wrapText="1"/>
    </xf>
    <xf numFmtId="167" fontId="17" fillId="4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10" fontId="8" fillId="0" borderId="0" xfId="1" applyNumberFormat="1" applyFont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44" fontId="15" fillId="0" borderId="0" xfId="2" applyFont="1" applyAlignment="1">
      <alignment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/>
    <xf numFmtId="0" fontId="8" fillId="5" borderId="17" xfId="0" applyFont="1" applyFill="1" applyBorder="1" applyAlignment="1">
      <alignment horizontal="left"/>
    </xf>
    <xf numFmtId="4" fontId="9" fillId="5" borderId="1" xfId="0" applyNumberFormat="1" applyFont="1" applyFill="1" applyBorder="1" applyAlignment="1">
      <alignment horizontal="right" vertical="center"/>
    </xf>
    <xf numFmtId="8" fontId="10" fillId="0" borderId="1" xfId="0" applyNumberFormat="1" applyFont="1" applyFill="1" applyBorder="1" applyAlignment="1">
      <alignment horizontal="center" vertical="center"/>
    </xf>
    <xf numFmtId="4" fontId="8" fillId="5" borderId="18" xfId="0" applyNumberFormat="1" applyFont="1" applyFill="1" applyBorder="1"/>
    <xf numFmtId="0" fontId="6" fillId="3" borderId="1" xfId="0" applyFont="1" applyFill="1" applyBorder="1" applyAlignment="1">
      <alignment horizontal="center" vertical="center" textRotation="90" wrapText="1"/>
    </xf>
    <xf numFmtId="3" fontId="6" fillId="3" borderId="1" xfId="0" applyNumberFormat="1" applyFont="1" applyFill="1" applyBorder="1" applyAlignment="1">
      <alignment horizontal="center" vertical="center" textRotation="90" wrapText="1"/>
    </xf>
    <xf numFmtId="4" fontId="6" fillId="3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4" fontId="8" fillId="5" borderId="1" xfId="0" applyNumberFormat="1" applyFont="1" applyFill="1" applyBorder="1" applyAlignment="1">
      <alignment vertical="center"/>
    </xf>
    <xf numFmtId="10" fontId="8" fillId="5" borderId="1" xfId="0" applyNumberFormat="1" applyFont="1" applyFill="1" applyBorder="1" applyAlignment="1">
      <alignment vertical="center"/>
    </xf>
    <xf numFmtId="4" fontId="10" fillId="5" borderId="1" xfId="0" applyNumberFormat="1" applyFont="1" applyFill="1" applyBorder="1" applyAlignment="1">
      <alignment vertical="center"/>
    </xf>
    <xf numFmtId="10" fontId="10" fillId="5" borderId="1" xfId="0" applyNumberFormat="1" applyFont="1" applyFill="1" applyBorder="1" applyAlignment="1">
      <alignment vertical="center"/>
    </xf>
    <xf numFmtId="0" fontId="8" fillId="5" borderId="0" xfId="0" applyFont="1" applyFill="1" applyAlignment="1">
      <alignment vertical="center"/>
    </xf>
    <xf numFmtId="4" fontId="8" fillId="5" borderId="0" xfId="0" applyNumberFormat="1" applyFont="1" applyFill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4" fontId="7" fillId="5" borderId="1" xfId="0" applyNumberFormat="1" applyFont="1" applyFill="1" applyBorder="1" applyAlignment="1">
      <alignment vertical="center"/>
    </xf>
    <xf numFmtId="10" fontId="7" fillId="5" borderId="1" xfId="0" applyNumberFormat="1" applyFont="1" applyFill="1" applyBorder="1" applyAlignment="1">
      <alignment vertical="center"/>
    </xf>
    <xf numFmtId="4" fontId="11" fillId="5" borderId="1" xfId="0" applyNumberFormat="1" applyFont="1" applyFill="1" applyBorder="1" applyAlignment="1">
      <alignment vertical="center"/>
    </xf>
    <xf numFmtId="10" fontId="11" fillId="5" borderId="1" xfId="0" applyNumberFormat="1" applyFont="1" applyFill="1" applyBorder="1" applyAlignment="1">
      <alignment vertical="center"/>
    </xf>
    <xf numFmtId="3" fontId="17" fillId="4" borderId="1" xfId="0" applyNumberFormat="1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/>
    </xf>
    <xf numFmtId="3" fontId="16" fillId="3" borderId="1" xfId="0" applyNumberFormat="1" applyFont="1" applyFill="1" applyBorder="1" applyAlignment="1">
      <alignment horizontal="center" vertical="center" wrapText="1"/>
    </xf>
    <xf numFmtId="4" fontId="18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167" fontId="12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4" fontId="8" fillId="0" borderId="0" xfId="2" applyFont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0" fontId="8" fillId="10" borderId="4" xfId="0" applyNumberFormat="1" applyFont="1" applyFill="1" applyBorder="1" applyAlignment="1">
      <alignment horizontal="center" vertical="center" wrapText="1"/>
    </xf>
    <xf numFmtId="10" fontId="8" fillId="10" borderId="5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8" fontId="9" fillId="5" borderId="4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8" fontId="10" fillId="0" borderId="4" xfId="0" applyNumberFormat="1" applyFont="1" applyFill="1" applyBorder="1" applyAlignment="1">
      <alignment horizontal="center" vertical="center"/>
    </xf>
    <xf numFmtId="8" fontId="10" fillId="0" borderId="5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10" fontId="8" fillId="0" borderId="4" xfId="0" applyNumberFormat="1" applyFont="1" applyBorder="1" applyAlignment="1">
      <alignment horizontal="center" vertical="center"/>
    </xf>
    <xf numFmtId="10" fontId="8" fillId="0" borderId="5" xfId="0" applyNumberFormat="1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9" fontId="8" fillId="0" borderId="4" xfId="0" applyNumberFormat="1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/>
    </xf>
    <xf numFmtId="10" fontId="8" fillId="10" borderId="4" xfId="0" applyNumberFormat="1" applyFont="1" applyFill="1" applyBorder="1" applyAlignment="1">
      <alignment horizontal="center" vertical="center"/>
    </xf>
    <xf numFmtId="10" fontId="8" fillId="10" borderId="5" xfId="0" applyNumberFormat="1" applyFont="1" applyFill="1" applyBorder="1" applyAlignment="1">
      <alignment horizontal="center" vertical="center"/>
    </xf>
    <xf numFmtId="166" fontId="9" fillId="4" borderId="4" xfId="0" applyNumberFormat="1" applyFont="1" applyFill="1" applyBorder="1" applyAlignment="1">
      <alignment horizontal="center" vertical="center"/>
    </xf>
    <xf numFmtId="166" fontId="9" fillId="4" borderId="5" xfId="0" applyNumberFormat="1" applyFont="1" applyFill="1" applyBorder="1" applyAlignment="1">
      <alignment horizontal="center" vertical="center"/>
    </xf>
    <xf numFmtId="166" fontId="9" fillId="0" borderId="4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9" fontId="9" fillId="4" borderId="4" xfId="0" applyNumberFormat="1" applyFont="1" applyFill="1" applyBorder="1" applyAlignment="1">
      <alignment horizontal="center" vertical="center"/>
    </xf>
    <xf numFmtId="9" fontId="9" fillId="4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 textRotation="90" wrapText="1"/>
    </xf>
    <xf numFmtId="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center" vertical="center" wrapText="1"/>
    </xf>
    <xf numFmtId="4" fontId="17" fillId="4" borderId="3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/>
    </xf>
    <xf numFmtId="0" fontId="8" fillId="5" borderId="21" xfId="0" applyFont="1" applyFill="1" applyBorder="1" applyAlignment="1">
      <alignment horizontal="center"/>
    </xf>
    <xf numFmtId="0" fontId="8" fillId="5" borderId="22" xfId="0" applyFont="1" applyFill="1" applyBorder="1" applyAlignment="1">
      <alignment horizontal="center"/>
    </xf>
    <xf numFmtId="0" fontId="8" fillId="5" borderId="2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5" borderId="20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94"/>
  <sheetViews>
    <sheetView tabSelected="1" topLeftCell="N68" zoomScale="90" zoomScaleNormal="90" workbookViewId="0">
      <selection activeCell="Z78" sqref="Z78"/>
    </sheetView>
  </sheetViews>
  <sheetFormatPr defaultColWidth="10.75" defaultRowHeight="12.75" x14ac:dyDescent="0.25"/>
  <cols>
    <col min="1" max="2" width="11.75" style="1" customWidth="1"/>
    <col min="3" max="3" width="4.75" style="2" bestFit="1" customWidth="1"/>
    <col min="4" max="4" width="29.25" style="1" bestFit="1" customWidth="1"/>
    <col min="5" max="6" width="20.75" style="1" customWidth="1"/>
    <col min="7" max="7" width="13.375" style="1" customWidth="1"/>
    <col min="8" max="8" width="11.125" style="35" customWidth="1"/>
    <col min="9" max="9" width="12.75" style="1" customWidth="1"/>
    <col min="10" max="10" width="13.75" style="1" customWidth="1"/>
    <col min="11" max="11" width="11.75" style="1" customWidth="1"/>
    <col min="12" max="12" width="10.5" style="35" customWidth="1"/>
    <col min="13" max="13" width="13.625" style="1" customWidth="1"/>
    <col min="14" max="14" width="13.75" style="1" customWidth="1"/>
    <col min="15" max="15" width="13.25" style="1" customWidth="1"/>
    <col min="16" max="16" width="10.125" style="35" customWidth="1"/>
    <col min="17" max="17" width="14.25" style="1" customWidth="1"/>
    <col min="18" max="18" width="13.75" style="1" customWidth="1"/>
    <col min="19" max="19" width="11.75" style="1" customWidth="1"/>
    <col min="20" max="20" width="12.625" style="35" customWidth="1"/>
    <col min="21" max="22" width="13.75" style="1" customWidth="1"/>
    <col min="23" max="23" width="11.75" style="1" customWidth="1"/>
    <col min="24" max="24" width="13" style="35" customWidth="1"/>
    <col min="25" max="25" width="14.75" style="1" customWidth="1"/>
    <col min="26" max="26" width="13.75" style="1" customWidth="1"/>
    <col min="27" max="27" width="12.75" style="3" bestFit="1" customWidth="1"/>
    <col min="28" max="28" width="15.25" style="3" bestFit="1" customWidth="1"/>
    <col min="29" max="29" width="9" style="35" bestFit="1" customWidth="1"/>
    <col min="30" max="30" width="13" style="1" bestFit="1" customWidth="1"/>
    <col min="31" max="33" width="10.75" style="1"/>
    <col min="34" max="34" width="10.75" style="3"/>
    <col min="35" max="16384" width="10.75" style="1"/>
  </cols>
  <sheetData>
    <row r="1" spans="1:29" ht="16.149999999999999" customHeight="1" x14ac:dyDescent="0.25">
      <c r="A1" s="135" t="s">
        <v>206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</row>
    <row r="2" spans="1:29" ht="15" customHeight="1" x14ac:dyDescent="0.25">
      <c r="A2" s="144" t="s">
        <v>77</v>
      </c>
      <c r="B2" s="140" t="s">
        <v>49</v>
      </c>
      <c r="C2" s="140" t="s">
        <v>75</v>
      </c>
      <c r="D2" s="140" t="s">
        <v>0</v>
      </c>
      <c r="E2" s="189" t="s">
        <v>104</v>
      </c>
      <c r="F2" s="190"/>
      <c r="G2" s="149" t="s">
        <v>36</v>
      </c>
      <c r="H2" s="150"/>
      <c r="I2" s="150"/>
      <c r="J2" s="151"/>
      <c r="K2" s="149" t="s">
        <v>37</v>
      </c>
      <c r="L2" s="150"/>
      <c r="M2" s="150"/>
      <c r="N2" s="151"/>
      <c r="O2" s="183" t="s">
        <v>38</v>
      </c>
      <c r="P2" s="184"/>
      <c r="Q2" s="184"/>
      <c r="R2" s="185"/>
      <c r="S2" s="183" t="s">
        <v>39</v>
      </c>
      <c r="T2" s="184"/>
      <c r="U2" s="184"/>
      <c r="V2" s="185"/>
      <c r="W2" s="183" t="s">
        <v>40</v>
      </c>
      <c r="X2" s="184"/>
      <c r="Y2" s="184"/>
      <c r="Z2" s="185"/>
      <c r="AA2" s="134" t="s">
        <v>52</v>
      </c>
      <c r="AB2" s="134"/>
      <c r="AC2" s="134"/>
    </row>
    <row r="3" spans="1:29" ht="15" customHeight="1" x14ac:dyDescent="0.25">
      <c r="A3" s="144"/>
      <c r="B3" s="140"/>
      <c r="C3" s="140"/>
      <c r="D3" s="140"/>
      <c r="E3" s="191"/>
      <c r="F3" s="192"/>
      <c r="G3" s="149" t="s">
        <v>51</v>
      </c>
      <c r="H3" s="151"/>
      <c r="I3" s="168" t="s">
        <v>2</v>
      </c>
      <c r="J3" s="169"/>
      <c r="K3" s="149" t="s">
        <v>51</v>
      </c>
      <c r="L3" s="151"/>
      <c r="M3" s="168" t="s">
        <v>2</v>
      </c>
      <c r="N3" s="169"/>
      <c r="O3" s="149" t="s">
        <v>51</v>
      </c>
      <c r="P3" s="151"/>
      <c r="Q3" s="168" t="s">
        <v>2</v>
      </c>
      <c r="R3" s="169"/>
      <c r="S3" s="149" t="s">
        <v>51</v>
      </c>
      <c r="T3" s="151"/>
      <c r="U3" s="168" t="s">
        <v>2</v>
      </c>
      <c r="V3" s="169"/>
      <c r="W3" s="149" t="s">
        <v>51</v>
      </c>
      <c r="X3" s="151"/>
      <c r="Y3" s="168" t="s">
        <v>2</v>
      </c>
      <c r="Z3" s="169"/>
      <c r="AA3" s="186" t="s">
        <v>51</v>
      </c>
      <c r="AB3" s="186"/>
      <c r="AC3" s="133" t="s">
        <v>45</v>
      </c>
    </row>
    <row r="4" spans="1:29" ht="15" customHeight="1" x14ac:dyDescent="0.25">
      <c r="A4" s="144"/>
      <c r="B4" s="140"/>
      <c r="C4" s="140"/>
      <c r="D4" s="140"/>
      <c r="E4" s="191"/>
      <c r="F4" s="192"/>
      <c r="G4" s="168">
        <v>120</v>
      </c>
      <c r="H4" s="169"/>
      <c r="I4" s="138">
        <v>1278.71</v>
      </c>
      <c r="J4" s="139"/>
      <c r="K4" s="168">
        <v>22</v>
      </c>
      <c r="L4" s="169"/>
      <c r="M4" s="138">
        <v>2469</v>
      </c>
      <c r="N4" s="139"/>
      <c r="O4" s="168">
        <v>16</v>
      </c>
      <c r="P4" s="169"/>
      <c r="Q4" s="138">
        <v>1826.64</v>
      </c>
      <c r="R4" s="139"/>
      <c r="S4" s="168">
        <v>19</v>
      </c>
      <c r="T4" s="169"/>
      <c r="U4" s="138">
        <v>4440</v>
      </c>
      <c r="V4" s="139"/>
      <c r="W4" s="168">
        <v>5</v>
      </c>
      <c r="X4" s="169"/>
      <c r="Y4" s="138">
        <v>5030</v>
      </c>
      <c r="Z4" s="139"/>
      <c r="AA4" s="186">
        <f>G4+K4+O4+S4+W4</f>
        <v>182</v>
      </c>
      <c r="AB4" s="186"/>
      <c r="AC4" s="133"/>
    </row>
    <row r="5" spans="1:29" ht="25.5" x14ac:dyDescent="0.25">
      <c r="A5" s="144"/>
      <c r="B5" s="140"/>
      <c r="C5" s="140"/>
      <c r="D5" s="140"/>
      <c r="E5" s="193"/>
      <c r="F5" s="194"/>
      <c r="G5" s="11" t="s">
        <v>201</v>
      </c>
      <c r="H5" s="43" t="s">
        <v>45</v>
      </c>
      <c r="I5" s="11" t="s">
        <v>202</v>
      </c>
      <c r="J5" s="11" t="s">
        <v>203</v>
      </c>
      <c r="K5" s="36" t="s">
        <v>201</v>
      </c>
      <c r="L5" s="43" t="s">
        <v>45</v>
      </c>
      <c r="M5" s="36" t="s">
        <v>202</v>
      </c>
      <c r="N5" s="36" t="s">
        <v>203</v>
      </c>
      <c r="O5" s="36" t="s">
        <v>201</v>
      </c>
      <c r="P5" s="43" t="s">
        <v>45</v>
      </c>
      <c r="Q5" s="36" t="s">
        <v>202</v>
      </c>
      <c r="R5" s="36" t="s">
        <v>203</v>
      </c>
      <c r="S5" s="36" t="s">
        <v>201</v>
      </c>
      <c r="T5" s="43" t="s">
        <v>45</v>
      </c>
      <c r="U5" s="36" t="s">
        <v>202</v>
      </c>
      <c r="V5" s="36" t="s">
        <v>203</v>
      </c>
      <c r="W5" s="36" t="s">
        <v>201</v>
      </c>
      <c r="X5" s="43" t="s">
        <v>45</v>
      </c>
      <c r="Y5" s="36" t="s">
        <v>202</v>
      </c>
      <c r="Z5" s="36" t="s">
        <v>203</v>
      </c>
      <c r="AA5" s="13" t="s">
        <v>202</v>
      </c>
      <c r="AB5" s="14" t="s">
        <v>204</v>
      </c>
      <c r="AC5" s="133"/>
    </row>
    <row r="6" spans="1:29" ht="13.9" customHeight="1" x14ac:dyDescent="0.25">
      <c r="A6" s="144" t="s">
        <v>83</v>
      </c>
      <c r="B6" s="141" t="s">
        <v>2</v>
      </c>
      <c r="C6" s="15" t="s">
        <v>1</v>
      </c>
      <c r="D6" s="16" t="s">
        <v>2</v>
      </c>
      <c r="E6" s="181" t="s">
        <v>102</v>
      </c>
      <c r="F6" s="182"/>
      <c r="G6" s="17">
        <f>I4/28*26</f>
        <v>1187.3735714285715</v>
      </c>
      <c r="H6" s="38">
        <f>G6/$G$80</f>
        <v>0.37233359272895439</v>
      </c>
      <c r="I6" s="17">
        <f>G6*$G$4</f>
        <v>142484.82857142857</v>
      </c>
      <c r="J6" s="17">
        <f>I6*28</f>
        <v>3989575.2</v>
      </c>
      <c r="K6" s="17">
        <f>M4/28*26</f>
        <v>2292.6428571428573</v>
      </c>
      <c r="L6" s="38">
        <f>K6/$K$80</f>
        <v>0.43599425460317343</v>
      </c>
      <c r="M6" s="17">
        <f>K6*$K$4</f>
        <v>50438.142857142862</v>
      </c>
      <c r="N6" s="17">
        <f>M6*28</f>
        <v>1412268.0000000002</v>
      </c>
      <c r="O6" s="17">
        <f>Q4/28*26</f>
        <v>1696.1657142857143</v>
      </c>
      <c r="P6" s="38">
        <f>O6/$O$80</f>
        <v>0.40803866443231113</v>
      </c>
      <c r="Q6" s="17">
        <f>O6*$O$4</f>
        <v>27138.651428571429</v>
      </c>
      <c r="R6" s="17">
        <f t="shared" ref="R6:R69" si="0">Q6*28</f>
        <v>759882.23999999999</v>
      </c>
      <c r="S6" s="17">
        <f>U4/28*26</f>
        <v>4122.8571428571431</v>
      </c>
      <c r="T6" s="38">
        <f>S6/$S$80</f>
        <v>0.4692740238176164</v>
      </c>
      <c r="U6" s="17">
        <f>S6*$S$4</f>
        <v>78334.285714285725</v>
      </c>
      <c r="V6" s="17">
        <f>U6*28</f>
        <v>2193360.0000000005</v>
      </c>
      <c r="W6" s="17">
        <f>Y4/28*26</f>
        <v>4670.7142857142853</v>
      </c>
      <c r="X6" s="38">
        <f>W6/$W$80</f>
        <v>0.47422720255567302</v>
      </c>
      <c r="Y6" s="17">
        <f>W6*$W$4</f>
        <v>23353.571428571428</v>
      </c>
      <c r="Z6" s="17">
        <f>Y6*28</f>
        <v>653900</v>
      </c>
      <c r="AA6" s="17">
        <f>I6+M6+Q6+U6+Y6</f>
        <v>321749.48000000004</v>
      </c>
      <c r="AB6" s="17">
        <f>AA6*28</f>
        <v>9008985.4400000013</v>
      </c>
      <c r="AC6" s="38">
        <f>AB6/$AB$80</f>
        <v>0.41194586501794239</v>
      </c>
    </row>
    <row r="7" spans="1:29" ht="13.9" customHeight="1" x14ac:dyDescent="0.25">
      <c r="A7" s="144"/>
      <c r="B7" s="142"/>
      <c r="C7" s="15" t="s">
        <v>3</v>
      </c>
      <c r="D7" s="16" t="s">
        <v>9</v>
      </c>
      <c r="E7" s="181" t="s">
        <v>71</v>
      </c>
      <c r="F7" s="182"/>
      <c r="G7" s="17">
        <f>G6*8%</f>
        <v>94.98988571428572</v>
      </c>
      <c r="H7" s="38">
        <f t="shared" ref="H7:H70" si="1">G7/$G$80</f>
        <v>2.978668741831635E-2</v>
      </c>
      <c r="I7" s="17">
        <f t="shared" ref="I7:I67" si="2">G7*$G$4</f>
        <v>11398.786285714286</v>
      </c>
      <c r="J7" s="17">
        <f t="shared" ref="J7:J69" si="3">I7*28</f>
        <v>319166.016</v>
      </c>
      <c r="K7" s="17">
        <f>K6*8%</f>
        <v>183.41142857142859</v>
      </c>
      <c r="L7" s="38">
        <f t="shared" ref="L7:L70" si="4">K7/$K$80</f>
        <v>3.4879540368253872E-2</v>
      </c>
      <c r="M7" s="17">
        <f t="shared" ref="M7:M69" si="5">K7*$K$4</f>
        <v>4035.0514285714289</v>
      </c>
      <c r="N7" s="17">
        <f t="shared" ref="N7:N69" si="6">M7*28</f>
        <v>112981.44</v>
      </c>
      <c r="O7" s="17">
        <f>O6*8%</f>
        <v>135.69325714285714</v>
      </c>
      <c r="P7" s="38">
        <f t="shared" ref="P7:P70" si="7">O7/$O$80</f>
        <v>3.2643093154584892E-2</v>
      </c>
      <c r="Q7" s="17">
        <f t="shared" ref="Q7:Q69" si="8">O7*$O$4</f>
        <v>2171.0921142857142</v>
      </c>
      <c r="R7" s="17">
        <f t="shared" si="0"/>
        <v>60790.579199999993</v>
      </c>
      <c r="S7" s="17">
        <f>S6*8%</f>
        <v>329.82857142857148</v>
      </c>
      <c r="T7" s="38">
        <f t="shared" ref="T7:T70" si="9">S7/$S$80</f>
        <v>3.7541921905409316E-2</v>
      </c>
      <c r="U7" s="17">
        <f t="shared" ref="U7:U69" si="10">S7*$S$4</f>
        <v>6266.7428571428582</v>
      </c>
      <c r="V7" s="17">
        <f t="shared" ref="V7:V69" si="11">U7*28</f>
        <v>175468.80000000002</v>
      </c>
      <c r="W7" s="17">
        <f>W6*8%</f>
        <v>373.65714285714284</v>
      </c>
      <c r="X7" s="38">
        <f t="shared" ref="X7:X69" si="12">W7/$W$80</f>
        <v>3.7938176204453847E-2</v>
      </c>
      <c r="Y7" s="17">
        <f t="shared" ref="Y7:Y69" si="13">W7*$W$4</f>
        <v>1868.2857142857142</v>
      </c>
      <c r="Z7" s="17">
        <f t="shared" ref="Z7:Z69" si="14">Y7*28</f>
        <v>52312</v>
      </c>
      <c r="AA7" s="17">
        <f t="shared" ref="AA7:AA70" si="15">I7+M7+Q7+U7+Y7</f>
        <v>25739.9584</v>
      </c>
      <c r="AB7" s="17">
        <f t="shared" ref="AB7:AB70" si="16">AA7*28</f>
        <v>720718.83519999997</v>
      </c>
      <c r="AC7" s="38">
        <f t="shared" ref="AC7:AC70" si="17">AB7/$AB$80</f>
        <v>3.2955669201435382E-2</v>
      </c>
    </row>
    <row r="8" spans="1:29" x14ac:dyDescent="0.25">
      <c r="A8" s="144"/>
      <c r="B8" s="142"/>
      <c r="C8" s="15" t="s">
        <v>4</v>
      </c>
      <c r="D8" s="16" t="s">
        <v>12</v>
      </c>
      <c r="E8" s="181" t="s">
        <v>72</v>
      </c>
      <c r="F8" s="182"/>
      <c r="G8" s="17">
        <f>G6*20%</f>
        <v>237.4747142857143</v>
      </c>
      <c r="H8" s="38">
        <f t="shared" si="1"/>
        <v>7.4466718545790872E-2</v>
      </c>
      <c r="I8" s="17">
        <f t="shared" si="2"/>
        <v>28496.965714285718</v>
      </c>
      <c r="J8" s="17">
        <f t="shared" si="3"/>
        <v>797915.04</v>
      </c>
      <c r="K8" s="17">
        <f>K6*20%</f>
        <v>458.52857142857147</v>
      </c>
      <c r="L8" s="38">
        <f t="shared" si="4"/>
        <v>8.7198850920634688E-2</v>
      </c>
      <c r="M8" s="17">
        <f t="shared" si="5"/>
        <v>10087.628571428573</v>
      </c>
      <c r="N8" s="17">
        <f t="shared" si="6"/>
        <v>282453.60000000003</v>
      </c>
      <c r="O8" s="17">
        <f>O6*20%</f>
        <v>339.23314285714287</v>
      </c>
      <c r="P8" s="38">
        <f t="shared" si="7"/>
        <v>8.1607732886462225E-2</v>
      </c>
      <c r="Q8" s="17">
        <f t="shared" si="8"/>
        <v>5427.7302857142859</v>
      </c>
      <c r="R8" s="17">
        <f t="shared" si="0"/>
        <v>151976.448</v>
      </c>
      <c r="S8" s="17">
        <f>S6*20%</f>
        <v>824.57142857142867</v>
      </c>
      <c r="T8" s="38">
        <f t="shared" si="9"/>
        <v>9.3854804763523286E-2</v>
      </c>
      <c r="U8" s="17">
        <f t="shared" si="10"/>
        <v>15666.857142857145</v>
      </c>
      <c r="V8" s="17">
        <f t="shared" si="11"/>
        <v>438672.00000000006</v>
      </c>
      <c r="W8" s="17">
        <f>W6*20%</f>
        <v>934.14285714285711</v>
      </c>
      <c r="X8" s="38">
        <f t="shared" si="12"/>
        <v>9.484544051113461E-2</v>
      </c>
      <c r="Y8" s="17">
        <f t="shared" si="13"/>
        <v>4670.7142857142853</v>
      </c>
      <c r="Z8" s="17">
        <f t="shared" si="14"/>
        <v>130779.99999999999</v>
      </c>
      <c r="AA8" s="17">
        <f t="shared" si="15"/>
        <v>64349.896000000008</v>
      </c>
      <c r="AB8" s="17">
        <f t="shared" si="16"/>
        <v>1801797.0880000002</v>
      </c>
      <c r="AC8" s="38">
        <f t="shared" si="17"/>
        <v>8.2389173003588473E-2</v>
      </c>
    </row>
    <row r="9" spans="1:29" x14ac:dyDescent="0.25">
      <c r="A9" s="144"/>
      <c r="B9" s="142"/>
      <c r="C9" s="15" t="s">
        <v>5</v>
      </c>
      <c r="D9" s="16" t="s">
        <v>99</v>
      </c>
      <c r="E9" s="181" t="s">
        <v>118</v>
      </c>
      <c r="F9" s="182"/>
      <c r="G9" s="17">
        <f>G6*0.2%</f>
        <v>2.3747471428571432</v>
      </c>
      <c r="H9" s="38">
        <f t="shared" si="1"/>
        <v>7.4466718545790887E-4</v>
      </c>
      <c r="I9" s="17">
        <f>G9*$G$4</f>
        <v>284.96965714285716</v>
      </c>
      <c r="J9" s="17">
        <f>I9*28</f>
        <v>7979.1504000000004</v>
      </c>
      <c r="K9" s="17">
        <f>K6*0.2%</f>
        <v>4.5852857142857149</v>
      </c>
      <c r="L9" s="38">
        <f t="shared" si="4"/>
        <v>8.7198850920634687E-4</v>
      </c>
      <c r="M9" s="17">
        <f t="shared" si="5"/>
        <v>100.87628571428573</v>
      </c>
      <c r="N9" s="17">
        <f t="shared" si="6"/>
        <v>2824.5360000000005</v>
      </c>
      <c r="O9" s="17">
        <f>O6*0.2%</f>
        <v>3.3923314285714286</v>
      </c>
      <c r="P9" s="38">
        <f t="shared" si="7"/>
        <v>8.1607732886462229E-4</v>
      </c>
      <c r="Q9" s="17">
        <f t="shared" si="8"/>
        <v>54.277302857142857</v>
      </c>
      <c r="R9" s="17">
        <f t="shared" si="0"/>
        <v>1519.76448</v>
      </c>
      <c r="S9" s="17">
        <f>S6*0.2%</f>
        <v>8.2457142857142856</v>
      </c>
      <c r="T9" s="38">
        <f t="shared" si="9"/>
        <v>9.3854804763523266E-4</v>
      </c>
      <c r="U9" s="17">
        <f t="shared" si="10"/>
        <v>156.66857142857143</v>
      </c>
      <c r="V9" s="17">
        <f t="shared" si="11"/>
        <v>4386.72</v>
      </c>
      <c r="W9" s="17">
        <f>W6*0.2%</f>
        <v>9.3414285714285707</v>
      </c>
      <c r="X9" s="38">
        <f t="shared" si="12"/>
        <v>9.48454405111346E-4</v>
      </c>
      <c r="Y9" s="17">
        <f t="shared" si="13"/>
        <v>46.707142857142856</v>
      </c>
      <c r="Z9" s="17">
        <f t="shared" si="14"/>
        <v>1307.8</v>
      </c>
      <c r="AA9" s="17">
        <f t="shared" si="15"/>
        <v>643.4989599999999</v>
      </c>
      <c r="AB9" s="17">
        <f t="shared" si="16"/>
        <v>18017.970879999997</v>
      </c>
      <c r="AC9" s="38">
        <f t="shared" si="17"/>
        <v>8.2389173003588449E-4</v>
      </c>
    </row>
    <row r="10" spans="1:29" x14ac:dyDescent="0.25">
      <c r="A10" s="144"/>
      <c r="B10" s="142"/>
      <c r="C10" s="15" t="s">
        <v>6</v>
      </c>
      <c r="D10" s="16" t="s">
        <v>115</v>
      </c>
      <c r="E10" s="181" t="s">
        <v>119</v>
      </c>
      <c r="F10" s="182"/>
      <c r="G10" s="17">
        <f>G6*1%</f>
        <v>11.873735714285715</v>
      </c>
      <c r="H10" s="38">
        <f t="shared" si="1"/>
        <v>3.7233359272895437E-3</v>
      </c>
      <c r="I10" s="17">
        <f>G10*$G$4</f>
        <v>1424.8482857142858</v>
      </c>
      <c r="J10" s="17">
        <f t="shared" ref="J10:J12" si="18">I10*28</f>
        <v>39895.752</v>
      </c>
      <c r="K10" s="17">
        <f>K6*1%</f>
        <v>22.926428571428573</v>
      </c>
      <c r="L10" s="38">
        <f t="shared" si="4"/>
        <v>4.359942546031734E-3</v>
      </c>
      <c r="M10" s="17">
        <f t="shared" si="5"/>
        <v>504.38142857142861</v>
      </c>
      <c r="N10" s="17">
        <f t="shared" si="6"/>
        <v>14122.68</v>
      </c>
      <c r="O10" s="17">
        <f>O6*1%</f>
        <v>16.961657142857142</v>
      </c>
      <c r="P10" s="38">
        <f t="shared" si="7"/>
        <v>4.0803866443231114E-3</v>
      </c>
      <c r="Q10" s="17">
        <f t="shared" si="8"/>
        <v>271.38651428571427</v>
      </c>
      <c r="R10" s="17">
        <f t="shared" si="0"/>
        <v>7598.8223999999991</v>
      </c>
      <c r="S10" s="17">
        <f>S6*1%</f>
        <v>41.228571428571435</v>
      </c>
      <c r="T10" s="38">
        <f t="shared" si="9"/>
        <v>4.6927402381761645E-3</v>
      </c>
      <c r="U10" s="17">
        <f t="shared" si="10"/>
        <v>783.34285714285727</v>
      </c>
      <c r="V10" s="17">
        <f t="shared" si="11"/>
        <v>21933.600000000002</v>
      </c>
      <c r="W10" s="17">
        <f>W6*1%</f>
        <v>46.707142857142856</v>
      </c>
      <c r="X10" s="38">
        <f t="shared" si="12"/>
        <v>4.7422720255567308E-3</v>
      </c>
      <c r="Y10" s="17">
        <f t="shared" si="13"/>
        <v>233.53571428571428</v>
      </c>
      <c r="Z10" s="17">
        <f t="shared" si="14"/>
        <v>6539</v>
      </c>
      <c r="AA10" s="17">
        <f t="shared" si="15"/>
        <v>3217.4947999999999</v>
      </c>
      <c r="AB10" s="17">
        <f t="shared" si="16"/>
        <v>90089.854399999997</v>
      </c>
      <c r="AC10" s="38">
        <f t="shared" si="17"/>
        <v>4.1194586501794228E-3</v>
      </c>
    </row>
    <row r="11" spans="1:29" x14ac:dyDescent="0.25">
      <c r="A11" s="144"/>
      <c r="B11" s="142"/>
      <c r="C11" s="15" t="s">
        <v>8</v>
      </c>
      <c r="D11" s="16" t="s">
        <v>116</v>
      </c>
      <c r="E11" s="181" t="s">
        <v>120</v>
      </c>
      <c r="F11" s="182"/>
      <c r="G11" s="17">
        <f>G6*1.5%</f>
        <v>17.810603571428572</v>
      </c>
      <c r="H11" s="38">
        <f t="shared" si="1"/>
        <v>5.5850038909343157E-3</v>
      </c>
      <c r="I11" s="17">
        <f t="shared" ref="I11:I12" si="19">G11*$G$4</f>
        <v>2137.2724285714285</v>
      </c>
      <c r="J11" s="17">
        <f t="shared" si="18"/>
        <v>59843.627999999997</v>
      </c>
      <c r="K11" s="17">
        <f>K6*1.5%</f>
        <v>34.38964285714286</v>
      </c>
      <c r="L11" s="38">
        <f t="shared" si="4"/>
        <v>6.5399138190476019E-3</v>
      </c>
      <c r="M11" s="17">
        <f t="shared" si="5"/>
        <v>756.57214285714292</v>
      </c>
      <c r="N11" s="17">
        <f t="shared" si="6"/>
        <v>21184.02</v>
      </c>
      <c r="O11" s="17">
        <f>O6*1.5%</f>
        <v>25.442485714285713</v>
      </c>
      <c r="P11" s="38">
        <f t="shared" si="7"/>
        <v>6.1205799664846667E-3</v>
      </c>
      <c r="Q11" s="17">
        <f t="shared" si="8"/>
        <v>407.07977142857141</v>
      </c>
      <c r="R11" s="17">
        <f t="shared" si="0"/>
        <v>11398.2336</v>
      </c>
      <c r="S11" s="17">
        <f>S6*1.5%</f>
        <v>61.842857142857142</v>
      </c>
      <c r="T11" s="38">
        <f t="shared" si="9"/>
        <v>7.0391103572642454E-3</v>
      </c>
      <c r="U11" s="17">
        <f t="shared" si="10"/>
        <v>1175.0142857142857</v>
      </c>
      <c r="V11" s="17">
        <f t="shared" si="11"/>
        <v>32900.400000000001</v>
      </c>
      <c r="W11" s="17">
        <f>W6*1.5%</f>
        <v>70.060714285714283</v>
      </c>
      <c r="X11" s="38">
        <f t="shared" si="12"/>
        <v>7.1134080383350954E-3</v>
      </c>
      <c r="Y11" s="17">
        <f t="shared" si="13"/>
        <v>350.30357142857144</v>
      </c>
      <c r="Z11" s="17">
        <f t="shared" si="14"/>
        <v>9808.5</v>
      </c>
      <c r="AA11" s="17">
        <f t="shared" si="15"/>
        <v>4826.2421999999997</v>
      </c>
      <c r="AB11" s="17">
        <f t="shared" si="16"/>
        <v>135134.78159999999</v>
      </c>
      <c r="AC11" s="38">
        <f t="shared" si="17"/>
        <v>6.1791879752691337E-3</v>
      </c>
    </row>
    <row r="12" spans="1:29" x14ac:dyDescent="0.25">
      <c r="A12" s="144"/>
      <c r="B12" s="142"/>
      <c r="C12" s="15" t="s">
        <v>10</v>
      </c>
      <c r="D12" s="16" t="s">
        <v>117</v>
      </c>
      <c r="E12" s="181" t="s">
        <v>121</v>
      </c>
      <c r="F12" s="182"/>
      <c r="G12" s="17">
        <f>G6*0.6%</f>
        <v>7.1242414285714295</v>
      </c>
      <c r="H12" s="38">
        <f t="shared" si="1"/>
        <v>2.2340015563737264E-3</v>
      </c>
      <c r="I12" s="17">
        <f t="shared" si="19"/>
        <v>854.90897142857159</v>
      </c>
      <c r="J12" s="17">
        <f t="shared" si="18"/>
        <v>23937.451200000003</v>
      </c>
      <c r="K12" s="17">
        <f>K6*0.6%</f>
        <v>13.755857142857144</v>
      </c>
      <c r="L12" s="38">
        <f t="shared" si="4"/>
        <v>2.6159655276190405E-3</v>
      </c>
      <c r="M12" s="17">
        <f t="shared" si="5"/>
        <v>302.62885714285716</v>
      </c>
      <c r="N12" s="17">
        <f t="shared" si="6"/>
        <v>8473.6080000000002</v>
      </c>
      <c r="O12" s="17">
        <f>O6*0.6%</f>
        <v>10.176994285714287</v>
      </c>
      <c r="P12" s="38">
        <f t="shared" si="7"/>
        <v>2.4482319865938669E-3</v>
      </c>
      <c r="Q12" s="17">
        <f t="shared" si="8"/>
        <v>162.83190857142858</v>
      </c>
      <c r="R12" s="17">
        <f t="shared" si="0"/>
        <v>4559.2934400000004</v>
      </c>
      <c r="S12" s="17">
        <f>S6*0.6%</f>
        <v>24.73714285714286</v>
      </c>
      <c r="T12" s="38">
        <f t="shared" si="9"/>
        <v>2.8156441429056985E-3</v>
      </c>
      <c r="U12" s="17">
        <f t="shared" si="10"/>
        <v>470.00571428571436</v>
      </c>
      <c r="V12" s="17">
        <f t="shared" si="11"/>
        <v>13160.160000000002</v>
      </c>
      <c r="W12" s="17">
        <f>W6*0.6%</f>
        <v>28.024285714285714</v>
      </c>
      <c r="X12" s="38">
        <f t="shared" si="12"/>
        <v>2.8453632153340384E-3</v>
      </c>
      <c r="Y12" s="17">
        <f t="shared" si="13"/>
        <v>140.12142857142857</v>
      </c>
      <c r="Z12" s="17">
        <f t="shared" si="14"/>
        <v>3923.3999999999996</v>
      </c>
      <c r="AA12" s="17">
        <f t="shared" si="15"/>
        <v>1930.4968800000001</v>
      </c>
      <c r="AB12" s="17">
        <f t="shared" si="16"/>
        <v>54053.912640000002</v>
      </c>
      <c r="AC12" s="38">
        <f t="shared" si="17"/>
        <v>2.471675190107654E-3</v>
      </c>
    </row>
    <row r="13" spans="1:29" x14ac:dyDescent="0.25">
      <c r="A13" s="144"/>
      <c r="B13" s="142"/>
      <c r="C13" s="15" t="s">
        <v>11</v>
      </c>
      <c r="D13" s="16" t="s">
        <v>14</v>
      </c>
      <c r="E13" s="181" t="s">
        <v>73</v>
      </c>
      <c r="F13" s="182"/>
      <c r="G13" s="17">
        <f>G6*2.5%</f>
        <v>29.684339285714287</v>
      </c>
      <c r="H13" s="38">
        <f t="shared" si="1"/>
        <v>9.308339818223859E-3</v>
      </c>
      <c r="I13" s="17">
        <f t="shared" si="2"/>
        <v>3562.1207142857147</v>
      </c>
      <c r="J13" s="17">
        <f t="shared" si="3"/>
        <v>99739.38</v>
      </c>
      <c r="K13" s="17">
        <f>K6*2.5%</f>
        <v>57.316071428571433</v>
      </c>
      <c r="L13" s="38">
        <f t="shared" si="4"/>
        <v>1.0899856365079336E-2</v>
      </c>
      <c r="M13" s="17">
        <f t="shared" si="5"/>
        <v>1260.9535714285716</v>
      </c>
      <c r="N13" s="17">
        <f t="shared" si="6"/>
        <v>35306.700000000004</v>
      </c>
      <c r="O13" s="17">
        <f>O6*2.5%</f>
        <v>42.404142857142858</v>
      </c>
      <c r="P13" s="38">
        <f t="shared" si="7"/>
        <v>1.0200966610807778E-2</v>
      </c>
      <c r="Q13" s="17">
        <f t="shared" si="8"/>
        <v>678.46628571428573</v>
      </c>
      <c r="R13" s="17">
        <f t="shared" si="0"/>
        <v>18997.056</v>
      </c>
      <c r="S13" s="17">
        <f>S6*2.5%</f>
        <v>103.07142857142858</v>
      </c>
      <c r="T13" s="38">
        <f t="shared" si="9"/>
        <v>1.1731850595440411E-2</v>
      </c>
      <c r="U13" s="17">
        <f t="shared" si="10"/>
        <v>1958.3571428571431</v>
      </c>
      <c r="V13" s="17">
        <f t="shared" si="11"/>
        <v>54834.000000000007</v>
      </c>
      <c r="W13" s="17">
        <f>W6*2.5%</f>
        <v>116.76785714285714</v>
      </c>
      <c r="X13" s="38">
        <f t="shared" si="12"/>
        <v>1.1855680063891826E-2</v>
      </c>
      <c r="Y13" s="17">
        <f t="shared" si="13"/>
        <v>583.83928571428567</v>
      </c>
      <c r="Z13" s="17">
        <f t="shared" si="14"/>
        <v>16347.499999999998</v>
      </c>
      <c r="AA13" s="17">
        <f t="shared" si="15"/>
        <v>8043.737000000001</v>
      </c>
      <c r="AB13" s="17">
        <f t="shared" si="16"/>
        <v>225224.63600000003</v>
      </c>
      <c r="AC13" s="38">
        <f t="shared" si="17"/>
        <v>1.0298646625448559E-2</v>
      </c>
    </row>
    <row r="14" spans="1:29" x14ac:dyDescent="0.25">
      <c r="A14" s="144"/>
      <c r="B14" s="142"/>
      <c r="C14" s="15" t="s">
        <v>13</v>
      </c>
      <c r="D14" s="16" t="s">
        <v>16</v>
      </c>
      <c r="E14" s="187" t="s">
        <v>221</v>
      </c>
      <c r="F14" s="188"/>
      <c r="G14" s="17">
        <f>G6*2.029%</f>
        <v>24.091809764285713</v>
      </c>
      <c r="H14" s="38">
        <f t="shared" si="1"/>
        <v>7.5546485964704839E-3</v>
      </c>
      <c r="I14" s="17">
        <f t="shared" si="2"/>
        <v>2891.0171717142857</v>
      </c>
      <c r="J14" s="17">
        <f t="shared" si="3"/>
        <v>80948.480807999993</v>
      </c>
      <c r="K14" s="17">
        <f>K6*2.029%</f>
        <v>46.517723571428576</v>
      </c>
      <c r="L14" s="38">
        <f t="shared" si="4"/>
        <v>8.8463234258983892E-3</v>
      </c>
      <c r="M14" s="17">
        <f t="shared" si="5"/>
        <v>1023.3899185714287</v>
      </c>
      <c r="N14" s="17">
        <f t="shared" si="6"/>
        <v>28654.917720000001</v>
      </c>
      <c r="O14" s="17">
        <f>O6*2.029%</f>
        <v>34.415202342857143</v>
      </c>
      <c r="P14" s="38">
        <f t="shared" si="7"/>
        <v>8.2791045013315932E-3</v>
      </c>
      <c r="Q14" s="17">
        <f t="shared" si="8"/>
        <v>550.64323748571428</v>
      </c>
      <c r="R14" s="17">
        <f t="shared" si="0"/>
        <v>15418.010649600001</v>
      </c>
      <c r="S14" s="17">
        <f>S6*2.029%</f>
        <v>83.652771428571427</v>
      </c>
      <c r="T14" s="38">
        <f t="shared" si="9"/>
        <v>9.5215699432594347E-3</v>
      </c>
      <c r="U14" s="17">
        <f t="shared" si="10"/>
        <v>1589.4026571428572</v>
      </c>
      <c r="V14" s="17">
        <f t="shared" si="11"/>
        <v>44503.274400000002</v>
      </c>
      <c r="W14" s="17">
        <f>W6*2.029%</f>
        <v>94.768792857142842</v>
      </c>
      <c r="X14" s="38">
        <f t="shared" si="12"/>
        <v>9.6220699398546043E-3</v>
      </c>
      <c r="Y14" s="17">
        <f t="shared" si="13"/>
        <v>473.84396428571421</v>
      </c>
      <c r="Z14" s="17">
        <f t="shared" si="14"/>
        <v>13267.630999999998</v>
      </c>
      <c r="AA14" s="17">
        <f t="shared" si="15"/>
        <v>6528.2969491999993</v>
      </c>
      <c r="AB14" s="17">
        <f t="shared" si="16"/>
        <v>182792.31457759999</v>
      </c>
      <c r="AC14" s="38">
        <f t="shared" si="17"/>
        <v>8.3583816012140488E-3</v>
      </c>
    </row>
    <row r="15" spans="1:29" x14ac:dyDescent="0.25">
      <c r="A15" s="144"/>
      <c r="B15" s="143"/>
      <c r="C15" s="18" t="s">
        <v>15</v>
      </c>
      <c r="D15" s="19" t="s">
        <v>7</v>
      </c>
      <c r="E15" s="154" t="s">
        <v>122</v>
      </c>
      <c r="F15" s="155"/>
      <c r="G15" s="20">
        <f>SUM(G6:G14)</f>
        <v>1612.7976483357143</v>
      </c>
      <c r="H15" s="39">
        <f t="shared" si="1"/>
        <v>0.50573699566781138</v>
      </c>
      <c r="I15" s="20">
        <f t="shared" si="2"/>
        <v>193535.71780028573</v>
      </c>
      <c r="J15" s="20">
        <f t="shared" si="3"/>
        <v>5419000.0984080005</v>
      </c>
      <c r="K15" s="20">
        <f>SUM(K6:K14)</f>
        <v>3114.0738664285718</v>
      </c>
      <c r="L15" s="39">
        <f t="shared" si="4"/>
        <v>0.5922066360849445</v>
      </c>
      <c r="M15" s="20">
        <f t="shared" si="5"/>
        <v>68509.625061428582</v>
      </c>
      <c r="N15" s="20">
        <f t="shared" si="6"/>
        <v>1918269.5017200003</v>
      </c>
      <c r="O15" s="20">
        <f>SUM(O6:O14)</f>
        <v>2303.8849280571435</v>
      </c>
      <c r="P15" s="39">
        <f t="shared" si="7"/>
        <v>0.55423483751176406</v>
      </c>
      <c r="Q15" s="20">
        <f t="shared" si="8"/>
        <v>36862.158848914296</v>
      </c>
      <c r="R15" s="20">
        <f t="shared" si="0"/>
        <v>1032140.4477696003</v>
      </c>
      <c r="S15" s="20">
        <f>SUM(S6:S14)</f>
        <v>5600.0356285714288</v>
      </c>
      <c r="T15" s="39">
        <f t="shared" si="9"/>
        <v>0.63741021381123009</v>
      </c>
      <c r="U15" s="20">
        <f t="shared" si="10"/>
        <v>106400.67694285714</v>
      </c>
      <c r="V15" s="20">
        <f t="shared" si="11"/>
        <v>2979218.9544000002</v>
      </c>
      <c r="W15" s="20">
        <f>SUM(W6:W14)</f>
        <v>6344.184507142857</v>
      </c>
      <c r="X15" s="39">
        <f t="shared" si="12"/>
        <v>0.64413806695934517</v>
      </c>
      <c r="Y15" s="20">
        <f t="shared" si="13"/>
        <v>31720.922535714286</v>
      </c>
      <c r="Z15" s="20">
        <f t="shared" si="14"/>
        <v>888185.83100000001</v>
      </c>
      <c r="AA15" s="20">
        <f t="shared" si="15"/>
        <v>437029.10118920007</v>
      </c>
      <c r="AB15" s="20">
        <f t="shared" si="16"/>
        <v>12236814.833297603</v>
      </c>
      <c r="AC15" s="39">
        <f t="shared" si="17"/>
        <v>0.55954194899522103</v>
      </c>
    </row>
    <row r="16" spans="1:29" x14ac:dyDescent="0.25">
      <c r="A16" s="144"/>
      <c r="B16" s="140" t="s">
        <v>50</v>
      </c>
      <c r="C16" s="15" t="s">
        <v>17</v>
      </c>
      <c r="D16" s="16" t="s">
        <v>22</v>
      </c>
      <c r="E16" s="156">
        <v>0</v>
      </c>
      <c r="F16" s="157"/>
      <c r="G16" s="17">
        <v>0</v>
      </c>
      <c r="H16" s="38">
        <f t="shared" si="1"/>
        <v>0</v>
      </c>
      <c r="I16" s="17">
        <f t="shared" si="2"/>
        <v>0</v>
      </c>
      <c r="J16" s="17">
        <f t="shared" si="3"/>
        <v>0</v>
      </c>
      <c r="K16" s="17">
        <v>0</v>
      </c>
      <c r="L16" s="38">
        <f t="shared" si="4"/>
        <v>0</v>
      </c>
      <c r="M16" s="17">
        <f t="shared" si="5"/>
        <v>0</v>
      </c>
      <c r="N16" s="17">
        <f t="shared" si="6"/>
        <v>0</v>
      </c>
      <c r="O16" s="17">
        <v>0</v>
      </c>
      <c r="P16" s="38">
        <f t="shared" si="7"/>
        <v>0</v>
      </c>
      <c r="Q16" s="17">
        <f t="shared" si="8"/>
        <v>0</v>
      </c>
      <c r="R16" s="17">
        <f t="shared" si="0"/>
        <v>0</v>
      </c>
      <c r="S16" s="17">
        <f>E16</f>
        <v>0</v>
      </c>
      <c r="T16" s="38">
        <f t="shared" si="9"/>
        <v>0</v>
      </c>
      <c r="U16" s="17">
        <f t="shared" si="10"/>
        <v>0</v>
      </c>
      <c r="V16" s="17">
        <f t="shared" si="11"/>
        <v>0</v>
      </c>
      <c r="W16" s="17">
        <f>E16</f>
        <v>0</v>
      </c>
      <c r="X16" s="38">
        <f t="shared" si="12"/>
        <v>0</v>
      </c>
      <c r="Y16" s="17">
        <f t="shared" si="13"/>
        <v>0</v>
      </c>
      <c r="Z16" s="17">
        <f t="shared" si="14"/>
        <v>0</v>
      </c>
      <c r="AA16" s="17">
        <f t="shared" si="15"/>
        <v>0</v>
      </c>
      <c r="AB16" s="17">
        <f t="shared" si="16"/>
        <v>0</v>
      </c>
      <c r="AC16" s="38">
        <f t="shared" si="17"/>
        <v>0</v>
      </c>
    </row>
    <row r="17" spans="1:34" x14ac:dyDescent="0.25">
      <c r="A17" s="144"/>
      <c r="B17" s="140"/>
      <c r="C17" s="15" t="s">
        <v>18</v>
      </c>
      <c r="D17" s="16" t="s">
        <v>24</v>
      </c>
      <c r="E17" s="156">
        <v>33.619999999999997</v>
      </c>
      <c r="F17" s="157"/>
      <c r="G17" s="17">
        <f>(E17*21)/28*26</f>
        <v>655.59</v>
      </c>
      <c r="H17" s="38">
        <f t="shared" si="1"/>
        <v>0.20557824928130411</v>
      </c>
      <c r="I17" s="17">
        <f t="shared" si="2"/>
        <v>78670.8</v>
      </c>
      <c r="J17" s="17">
        <f t="shared" si="3"/>
        <v>2202782.4</v>
      </c>
      <c r="K17" s="17">
        <f>(E17*21)/28*26</f>
        <v>655.59</v>
      </c>
      <c r="L17" s="38">
        <f t="shared" si="4"/>
        <v>0.12467422585456966</v>
      </c>
      <c r="M17" s="17">
        <f t="shared" si="5"/>
        <v>14422.980000000001</v>
      </c>
      <c r="N17" s="17">
        <f t="shared" si="6"/>
        <v>403843.44000000006</v>
      </c>
      <c r="O17" s="17">
        <f>(E17*21)/28*26</f>
        <v>655.59</v>
      </c>
      <c r="P17" s="38">
        <f t="shared" si="7"/>
        <v>0.15771222455574185</v>
      </c>
      <c r="Q17" s="17">
        <f t="shared" si="8"/>
        <v>10489.44</v>
      </c>
      <c r="R17" s="17">
        <f t="shared" si="0"/>
        <v>293704.32000000001</v>
      </c>
      <c r="S17" s="17">
        <f>(E17*21)/28*26</f>
        <v>655.59</v>
      </c>
      <c r="T17" s="38">
        <f t="shared" si="9"/>
        <v>7.4620911327863401E-2</v>
      </c>
      <c r="U17" s="17">
        <f t="shared" si="10"/>
        <v>12456.210000000001</v>
      </c>
      <c r="V17" s="17">
        <f t="shared" si="11"/>
        <v>348773.88</v>
      </c>
      <c r="W17" s="17">
        <f>(E17*21)/28*26</f>
        <v>655.59</v>
      </c>
      <c r="X17" s="38">
        <f t="shared" si="12"/>
        <v>6.6563397524524115E-2</v>
      </c>
      <c r="Y17" s="17">
        <f t="shared" si="13"/>
        <v>3277.9500000000003</v>
      </c>
      <c r="Z17" s="17">
        <f t="shared" si="14"/>
        <v>91782.6</v>
      </c>
      <c r="AA17" s="17">
        <f t="shared" si="15"/>
        <v>119317.38</v>
      </c>
      <c r="AB17" s="17">
        <f t="shared" si="16"/>
        <v>3340886.64</v>
      </c>
      <c r="AC17" s="38">
        <f t="shared" si="17"/>
        <v>0.15276575214907739</v>
      </c>
    </row>
    <row r="18" spans="1:34" x14ac:dyDescent="0.25">
      <c r="A18" s="144"/>
      <c r="B18" s="140"/>
      <c r="C18" s="15" t="s">
        <v>19</v>
      </c>
      <c r="D18" s="16" t="s">
        <v>26</v>
      </c>
      <c r="E18" s="156">
        <v>0</v>
      </c>
      <c r="F18" s="157"/>
      <c r="G18" s="17">
        <f>E18</f>
        <v>0</v>
      </c>
      <c r="H18" s="38">
        <f t="shared" si="1"/>
        <v>0</v>
      </c>
      <c r="I18" s="17">
        <f t="shared" si="2"/>
        <v>0</v>
      </c>
      <c r="J18" s="17">
        <f t="shared" si="3"/>
        <v>0</v>
      </c>
      <c r="K18" s="17">
        <f>E18</f>
        <v>0</v>
      </c>
      <c r="L18" s="38">
        <f t="shared" si="4"/>
        <v>0</v>
      </c>
      <c r="M18" s="17">
        <f t="shared" si="5"/>
        <v>0</v>
      </c>
      <c r="N18" s="17">
        <f t="shared" si="6"/>
        <v>0</v>
      </c>
      <c r="O18" s="17">
        <f>E18</f>
        <v>0</v>
      </c>
      <c r="P18" s="38">
        <f t="shared" si="7"/>
        <v>0</v>
      </c>
      <c r="Q18" s="17">
        <f t="shared" si="8"/>
        <v>0</v>
      </c>
      <c r="R18" s="17">
        <f t="shared" si="0"/>
        <v>0</v>
      </c>
      <c r="S18" s="17">
        <f>E18</f>
        <v>0</v>
      </c>
      <c r="T18" s="38">
        <f t="shared" si="9"/>
        <v>0</v>
      </c>
      <c r="U18" s="17">
        <f t="shared" si="10"/>
        <v>0</v>
      </c>
      <c r="V18" s="17">
        <f t="shared" si="11"/>
        <v>0</v>
      </c>
      <c r="W18" s="17">
        <f>E18</f>
        <v>0</v>
      </c>
      <c r="X18" s="38">
        <f t="shared" si="12"/>
        <v>0</v>
      </c>
      <c r="Y18" s="17">
        <f t="shared" si="13"/>
        <v>0</v>
      </c>
      <c r="Z18" s="17">
        <f t="shared" si="14"/>
        <v>0</v>
      </c>
      <c r="AA18" s="17">
        <f t="shared" si="15"/>
        <v>0</v>
      </c>
      <c r="AB18" s="17">
        <f t="shared" si="16"/>
        <v>0</v>
      </c>
      <c r="AC18" s="38">
        <f t="shared" si="17"/>
        <v>0</v>
      </c>
    </row>
    <row r="19" spans="1:34" s="97" customFormat="1" x14ac:dyDescent="0.25">
      <c r="A19" s="144"/>
      <c r="B19" s="140"/>
      <c r="C19" s="25" t="s">
        <v>20</v>
      </c>
      <c r="D19" s="16" t="s">
        <v>28</v>
      </c>
      <c r="E19" s="104">
        <v>0</v>
      </c>
      <c r="F19" s="104">
        <v>0</v>
      </c>
      <c r="G19" s="17">
        <f>E19</f>
        <v>0</v>
      </c>
      <c r="H19" s="38">
        <f t="shared" si="1"/>
        <v>0</v>
      </c>
      <c r="I19" s="17">
        <f t="shared" si="2"/>
        <v>0</v>
      </c>
      <c r="J19" s="17">
        <f t="shared" si="3"/>
        <v>0</v>
      </c>
      <c r="K19" s="17">
        <f>E19</f>
        <v>0</v>
      </c>
      <c r="L19" s="38">
        <f t="shared" si="4"/>
        <v>0</v>
      </c>
      <c r="M19" s="17">
        <f t="shared" si="5"/>
        <v>0</v>
      </c>
      <c r="N19" s="17">
        <f t="shared" si="6"/>
        <v>0</v>
      </c>
      <c r="O19" s="17">
        <f>E19</f>
        <v>0</v>
      </c>
      <c r="P19" s="38">
        <f t="shared" si="7"/>
        <v>0</v>
      </c>
      <c r="Q19" s="17">
        <f t="shared" si="8"/>
        <v>0</v>
      </c>
      <c r="R19" s="17">
        <f t="shared" si="0"/>
        <v>0</v>
      </c>
      <c r="S19" s="17">
        <f>F19</f>
        <v>0</v>
      </c>
      <c r="T19" s="38">
        <f t="shared" si="9"/>
        <v>0</v>
      </c>
      <c r="U19" s="17">
        <f t="shared" si="10"/>
        <v>0</v>
      </c>
      <c r="V19" s="17">
        <f t="shared" si="11"/>
        <v>0</v>
      </c>
      <c r="W19" s="17">
        <f>F19</f>
        <v>0</v>
      </c>
      <c r="X19" s="38">
        <f t="shared" si="12"/>
        <v>0</v>
      </c>
      <c r="Y19" s="17">
        <f t="shared" si="13"/>
        <v>0</v>
      </c>
      <c r="Z19" s="17">
        <f t="shared" si="14"/>
        <v>0</v>
      </c>
      <c r="AA19" s="17">
        <f t="shared" si="15"/>
        <v>0</v>
      </c>
      <c r="AB19" s="17">
        <f t="shared" si="16"/>
        <v>0</v>
      </c>
      <c r="AC19" s="38">
        <f t="shared" si="17"/>
        <v>0</v>
      </c>
      <c r="AH19" s="98"/>
    </row>
    <row r="20" spans="1:34" x14ac:dyDescent="0.25">
      <c r="A20" s="144"/>
      <c r="B20" s="140"/>
      <c r="C20" s="15" t="s">
        <v>21</v>
      </c>
      <c r="D20" s="16" t="s">
        <v>29</v>
      </c>
      <c r="E20" s="156">
        <v>4.25</v>
      </c>
      <c r="F20" s="157"/>
      <c r="G20" s="17">
        <f>IF((E20*42)-(I4*6%)&gt;0,((E20*42)-(I4*6%))/28*26,0)</f>
        <v>94.50758571428571</v>
      </c>
      <c r="H20" s="38">
        <f t="shared" si="1"/>
        <v>2.9635449007681083E-2</v>
      </c>
      <c r="I20" s="17">
        <f t="shared" si="2"/>
        <v>11340.910285714286</v>
      </c>
      <c r="J20" s="17">
        <f t="shared" si="3"/>
        <v>317545.48800000001</v>
      </c>
      <c r="K20" s="17">
        <f>IF((E20*42)-(M4*6%)&gt;0,((E20*42)-(M4*6%))/28*26,0)</f>
        <v>28.191428571428585</v>
      </c>
      <c r="L20" s="38">
        <f t="shared" si="4"/>
        <v>5.3611930213658772E-3</v>
      </c>
      <c r="M20" s="17">
        <f t="shared" si="5"/>
        <v>620.21142857142888</v>
      </c>
      <c r="N20" s="17">
        <f t="shared" si="6"/>
        <v>17365.920000000009</v>
      </c>
      <c r="O20" s="17">
        <f>IF((E20*42)-(Q4*6%)&gt;0,((E20*42)-(Q4*6%))/28*26,0)</f>
        <v>63.980057142857149</v>
      </c>
      <c r="P20" s="38">
        <f t="shared" si="7"/>
        <v>1.5391383546429143E-2</v>
      </c>
      <c r="Q20" s="17">
        <f t="shared" si="8"/>
        <v>1023.6809142857144</v>
      </c>
      <c r="R20" s="17">
        <f t="shared" si="0"/>
        <v>28663.065600000002</v>
      </c>
      <c r="S20" s="17">
        <f>IF((E20*42)-(U4*6%)&gt;0,((E20*42)-(U4*6%))/28*26,0)</f>
        <v>0</v>
      </c>
      <c r="T20" s="38">
        <f t="shared" si="9"/>
        <v>0</v>
      </c>
      <c r="U20" s="17">
        <f t="shared" si="10"/>
        <v>0</v>
      </c>
      <c r="V20" s="17">
        <f t="shared" si="11"/>
        <v>0</v>
      </c>
      <c r="W20" s="17">
        <f>IF((E20*42)-(Y4*6%)&gt;0,((E20*42)-(Y4*6%))/28*26,0)</f>
        <v>0</v>
      </c>
      <c r="X20" s="38">
        <f t="shared" si="12"/>
        <v>0</v>
      </c>
      <c r="Y20" s="17">
        <f t="shared" si="13"/>
        <v>0</v>
      </c>
      <c r="Z20" s="17">
        <f t="shared" si="14"/>
        <v>0</v>
      </c>
      <c r="AA20" s="17">
        <f t="shared" si="15"/>
        <v>12984.80262857143</v>
      </c>
      <c r="AB20" s="17">
        <f t="shared" si="16"/>
        <v>363574.47360000003</v>
      </c>
      <c r="AC20" s="38">
        <f t="shared" si="17"/>
        <v>1.6624846607099748E-2</v>
      </c>
    </row>
    <row r="21" spans="1:34" x14ac:dyDescent="0.25">
      <c r="A21" s="144"/>
      <c r="B21" s="140"/>
      <c r="C21" s="18" t="s">
        <v>23</v>
      </c>
      <c r="D21" s="19" t="s">
        <v>7</v>
      </c>
      <c r="E21" s="158" t="s">
        <v>123</v>
      </c>
      <c r="F21" s="159"/>
      <c r="G21" s="20">
        <f>SUM(G16:G20)</f>
        <v>750.09758571428574</v>
      </c>
      <c r="H21" s="39">
        <f t="shared" si="1"/>
        <v>0.2352136982889852</v>
      </c>
      <c r="I21" s="20">
        <f t="shared" si="2"/>
        <v>90011.710285714289</v>
      </c>
      <c r="J21" s="20">
        <f t="shared" si="3"/>
        <v>2520327.8880000003</v>
      </c>
      <c r="K21" s="20">
        <f>SUM(K16:K20)</f>
        <v>683.78142857142859</v>
      </c>
      <c r="L21" s="39">
        <f t="shared" si="4"/>
        <v>0.13003541887593553</v>
      </c>
      <c r="M21" s="20">
        <f t="shared" si="5"/>
        <v>15043.191428571428</v>
      </c>
      <c r="N21" s="20">
        <f t="shared" si="6"/>
        <v>421209.36</v>
      </c>
      <c r="O21" s="20">
        <f>SUM(O16:O20)</f>
        <v>719.57005714285719</v>
      </c>
      <c r="P21" s="39">
        <f t="shared" si="7"/>
        <v>0.17310360810217101</v>
      </c>
      <c r="Q21" s="20">
        <f t="shared" si="8"/>
        <v>11513.120914285715</v>
      </c>
      <c r="R21" s="20">
        <f t="shared" si="0"/>
        <v>322367.38560000004</v>
      </c>
      <c r="S21" s="20">
        <f>SUM(S16:S20)</f>
        <v>655.59</v>
      </c>
      <c r="T21" s="39">
        <f t="shared" si="9"/>
        <v>7.4620911327863401E-2</v>
      </c>
      <c r="U21" s="20">
        <f t="shared" si="10"/>
        <v>12456.210000000001</v>
      </c>
      <c r="V21" s="20">
        <f t="shared" si="11"/>
        <v>348773.88</v>
      </c>
      <c r="W21" s="20">
        <f>SUM(W16:W20)</f>
        <v>655.59</v>
      </c>
      <c r="X21" s="39">
        <f t="shared" si="12"/>
        <v>6.6563397524524115E-2</v>
      </c>
      <c r="Y21" s="20">
        <f t="shared" si="13"/>
        <v>3277.9500000000003</v>
      </c>
      <c r="Z21" s="20">
        <f t="shared" si="14"/>
        <v>91782.6</v>
      </c>
      <c r="AA21" s="20">
        <f t="shared" si="15"/>
        <v>132302.18262857143</v>
      </c>
      <c r="AB21" s="20">
        <f t="shared" si="16"/>
        <v>3704461.1136000003</v>
      </c>
      <c r="AC21" s="39">
        <f t="shared" si="17"/>
        <v>0.16939059875617715</v>
      </c>
      <c r="AF21" s="21"/>
    </row>
    <row r="22" spans="1:34" ht="15" customHeight="1" x14ac:dyDescent="0.25">
      <c r="A22" s="199" t="s">
        <v>78</v>
      </c>
      <c r="B22" s="141" t="s">
        <v>74</v>
      </c>
      <c r="C22" s="22" t="s">
        <v>25</v>
      </c>
      <c r="D22" s="23" t="s">
        <v>74</v>
      </c>
      <c r="E22" s="160" t="s">
        <v>108</v>
      </c>
      <c r="F22" s="161"/>
      <c r="G22" s="12">
        <f>(I4+I4/3)/30*70/28</f>
        <v>142.07888888888891</v>
      </c>
      <c r="H22" s="40">
        <f t="shared" si="1"/>
        <v>4.4552737591498817E-2</v>
      </c>
      <c r="I22" s="12">
        <f t="shared" si="2"/>
        <v>17049.466666666671</v>
      </c>
      <c r="J22" s="12">
        <f t="shared" si="3"/>
        <v>477385.06666666677</v>
      </c>
      <c r="K22" s="12">
        <f>(M4+M4/3)/30*70/28</f>
        <v>274.33333333333331</v>
      </c>
      <c r="L22" s="40">
        <f t="shared" si="4"/>
        <v>5.2170252687559204E-2</v>
      </c>
      <c r="M22" s="12">
        <f t="shared" si="5"/>
        <v>6035.333333333333</v>
      </c>
      <c r="N22" s="12">
        <f t="shared" si="6"/>
        <v>168989.33333333331</v>
      </c>
      <c r="O22" s="12">
        <f>(Q4+Q4/3)/30*70/28</f>
        <v>202.96</v>
      </c>
      <c r="P22" s="40">
        <f t="shared" si="7"/>
        <v>4.8825139333780819E-2</v>
      </c>
      <c r="Q22" s="12">
        <f t="shared" si="8"/>
        <v>3247.36</v>
      </c>
      <c r="R22" s="12">
        <f t="shared" si="0"/>
        <v>90926.080000000002</v>
      </c>
      <c r="S22" s="12">
        <f>(U4+U4/3)/30*70/28</f>
        <v>493.33333333333337</v>
      </c>
      <c r="T22" s="40">
        <f t="shared" si="9"/>
        <v>5.6152447294415639E-2</v>
      </c>
      <c r="U22" s="12">
        <f t="shared" si="10"/>
        <v>9373.3333333333339</v>
      </c>
      <c r="V22" s="12">
        <f t="shared" si="11"/>
        <v>262453.33333333337</v>
      </c>
      <c r="W22" s="12">
        <f>(Y4+Y4/3)/30*70/28</f>
        <v>558.88888888888891</v>
      </c>
      <c r="X22" s="40">
        <f t="shared" si="12"/>
        <v>5.6745135348542079E-2</v>
      </c>
      <c r="Y22" s="12">
        <f t="shared" si="13"/>
        <v>2794.4444444444443</v>
      </c>
      <c r="Z22" s="12">
        <f t="shared" si="14"/>
        <v>78244.444444444438</v>
      </c>
      <c r="AA22" s="17">
        <f t="shared" si="15"/>
        <v>38499.937777777785</v>
      </c>
      <c r="AB22" s="12">
        <f t="shared" si="16"/>
        <v>1077998.257777778</v>
      </c>
      <c r="AC22" s="40">
        <f t="shared" si="17"/>
        <v>4.9292667608984556E-2</v>
      </c>
    </row>
    <row r="23" spans="1:34" x14ac:dyDescent="0.25">
      <c r="A23" s="200"/>
      <c r="B23" s="142"/>
      <c r="C23" s="22" t="s">
        <v>27</v>
      </c>
      <c r="D23" s="23" t="s">
        <v>9</v>
      </c>
      <c r="E23" s="160" t="s">
        <v>125</v>
      </c>
      <c r="F23" s="161"/>
      <c r="G23" s="12">
        <f>G22*8%</f>
        <v>11.366311111111113</v>
      </c>
      <c r="H23" s="40">
        <f t="shared" si="1"/>
        <v>3.5642190073199055E-3</v>
      </c>
      <c r="I23" s="12">
        <f t="shared" si="2"/>
        <v>1363.9573333333335</v>
      </c>
      <c r="J23" s="12">
        <f t="shared" si="3"/>
        <v>38190.805333333337</v>
      </c>
      <c r="K23" s="12">
        <f>K22*8%</f>
        <v>21.946666666666665</v>
      </c>
      <c r="L23" s="40">
        <f t="shared" si="4"/>
        <v>4.1736202150047365E-3</v>
      </c>
      <c r="M23" s="12">
        <f t="shared" si="5"/>
        <v>482.82666666666665</v>
      </c>
      <c r="N23" s="12">
        <f t="shared" si="6"/>
        <v>13519.146666666666</v>
      </c>
      <c r="O23" s="12">
        <f>O22*8%</f>
        <v>16.236800000000002</v>
      </c>
      <c r="P23" s="40">
        <f t="shared" si="7"/>
        <v>3.9060111467024662E-3</v>
      </c>
      <c r="Q23" s="12">
        <f t="shared" si="8"/>
        <v>259.78880000000004</v>
      </c>
      <c r="R23" s="12">
        <f t="shared" si="0"/>
        <v>7274.086400000001</v>
      </c>
      <c r="S23" s="12">
        <f>S22*8%</f>
        <v>39.466666666666669</v>
      </c>
      <c r="T23" s="40">
        <f t="shared" si="9"/>
        <v>4.492195783553251E-3</v>
      </c>
      <c r="U23" s="12">
        <f t="shared" si="10"/>
        <v>749.86666666666667</v>
      </c>
      <c r="V23" s="12">
        <f t="shared" si="11"/>
        <v>20996.266666666666</v>
      </c>
      <c r="W23" s="12">
        <f>W22*8%</f>
        <v>44.711111111111116</v>
      </c>
      <c r="X23" s="40">
        <f t="shared" si="12"/>
        <v>4.5396108278833664E-3</v>
      </c>
      <c r="Y23" s="12">
        <f t="shared" si="13"/>
        <v>223.55555555555557</v>
      </c>
      <c r="Z23" s="12">
        <f t="shared" si="14"/>
        <v>6259.5555555555557</v>
      </c>
      <c r="AA23" s="17">
        <f t="shared" si="15"/>
        <v>3079.9950222222224</v>
      </c>
      <c r="AB23" s="12">
        <f t="shared" si="16"/>
        <v>86239.86062222223</v>
      </c>
      <c r="AC23" s="40">
        <f t="shared" si="17"/>
        <v>3.9434134087187643E-3</v>
      </c>
      <c r="AE23" s="21"/>
      <c r="AF23" s="24"/>
    </row>
    <row r="24" spans="1:34" x14ac:dyDescent="0.25">
      <c r="A24" s="200"/>
      <c r="B24" s="142"/>
      <c r="C24" s="22" t="s">
        <v>124</v>
      </c>
      <c r="D24" s="23" t="s">
        <v>12</v>
      </c>
      <c r="E24" s="160" t="s">
        <v>126</v>
      </c>
      <c r="F24" s="161"/>
      <c r="G24" s="12">
        <f>G22*20%</f>
        <v>28.415777777777784</v>
      </c>
      <c r="H24" s="40">
        <f t="shared" si="1"/>
        <v>8.9105475182997638E-3</v>
      </c>
      <c r="I24" s="12">
        <f t="shared" si="2"/>
        <v>3409.8933333333339</v>
      </c>
      <c r="J24" s="12">
        <f t="shared" si="3"/>
        <v>95477.013333333351</v>
      </c>
      <c r="K24" s="12">
        <f>K22*20%</f>
        <v>54.866666666666667</v>
      </c>
      <c r="L24" s="40">
        <f t="shared" si="4"/>
        <v>1.0434050537511843E-2</v>
      </c>
      <c r="M24" s="12">
        <f t="shared" si="5"/>
        <v>1207.0666666666666</v>
      </c>
      <c r="N24" s="12">
        <f t="shared" si="6"/>
        <v>33797.866666666669</v>
      </c>
      <c r="O24" s="12">
        <f>O22*20%</f>
        <v>40.592000000000006</v>
      </c>
      <c r="P24" s="40">
        <f t="shared" si="7"/>
        <v>9.7650278667561659E-3</v>
      </c>
      <c r="Q24" s="12">
        <f t="shared" si="8"/>
        <v>649.47200000000009</v>
      </c>
      <c r="R24" s="12">
        <f t="shared" si="0"/>
        <v>18185.216000000004</v>
      </c>
      <c r="S24" s="12">
        <f>S22*20%</f>
        <v>98.666666666666686</v>
      </c>
      <c r="T24" s="40">
        <f t="shared" si="9"/>
        <v>1.1230489458883129E-2</v>
      </c>
      <c r="U24" s="12">
        <f t="shared" si="10"/>
        <v>1874.666666666667</v>
      </c>
      <c r="V24" s="12">
        <f t="shared" si="11"/>
        <v>52490.666666666672</v>
      </c>
      <c r="W24" s="12">
        <f>W22*20%</f>
        <v>111.77777777777779</v>
      </c>
      <c r="X24" s="40">
        <f t="shared" si="12"/>
        <v>1.1349027069708416E-2</v>
      </c>
      <c r="Y24" s="12">
        <f t="shared" si="13"/>
        <v>558.88888888888891</v>
      </c>
      <c r="Z24" s="12">
        <f t="shared" si="14"/>
        <v>15648.888888888891</v>
      </c>
      <c r="AA24" s="17">
        <f t="shared" si="15"/>
        <v>7699.9875555555564</v>
      </c>
      <c r="AB24" s="12">
        <f t="shared" si="16"/>
        <v>215599.65155555558</v>
      </c>
      <c r="AC24" s="40">
        <f t="shared" si="17"/>
        <v>9.8585335217969104E-3</v>
      </c>
      <c r="AF24" s="24"/>
    </row>
    <row r="25" spans="1:34" x14ac:dyDescent="0.25">
      <c r="A25" s="200"/>
      <c r="B25" s="142"/>
      <c r="C25" s="22" t="s">
        <v>30</v>
      </c>
      <c r="D25" s="16" t="s">
        <v>99</v>
      </c>
      <c r="E25" s="181" t="s">
        <v>127</v>
      </c>
      <c r="F25" s="182"/>
      <c r="G25" s="12">
        <f>G22*0.2%</f>
        <v>0.28415777777777784</v>
      </c>
      <c r="H25" s="40">
        <f t="shared" si="1"/>
        <v>8.9105475182997641E-5</v>
      </c>
      <c r="I25" s="12">
        <f t="shared" si="2"/>
        <v>34.098933333333342</v>
      </c>
      <c r="J25" s="12">
        <f t="shared" si="3"/>
        <v>954.77013333333355</v>
      </c>
      <c r="K25" s="12">
        <f>K22*0.2%</f>
        <v>0.54866666666666664</v>
      </c>
      <c r="L25" s="40">
        <f t="shared" si="4"/>
        <v>1.0434050537511842E-4</v>
      </c>
      <c r="M25" s="12">
        <f t="shared" si="5"/>
        <v>12.070666666666666</v>
      </c>
      <c r="N25" s="12">
        <f t="shared" si="6"/>
        <v>337.97866666666664</v>
      </c>
      <c r="O25" s="12">
        <f>O22*0.2%</f>
        <v>0.40592</v>
      </c>
      <c r="P25" s="40">
        <f t="shared" si="7"/>
        <v>9.7650278667561644E-5</v>
      </c>
      <c r="Q25" s="12">
        <f t="shared" si="8"/>
        <v>6.49472</v>
      </c>
      <c r="R25" s="12">
        <f t="shared" si="0"/>
        <v>181.85216</v>
      </c>
      <c r="S25" s="12">
        <f>S22*0.2%</f>
        <v>0.9866666666666668</v>
      </c>
      <c r="T25" s="40">
        <f t="shared" si="9"/>
        <v>1.1230489458883128E-4</v>
      </c>
      <c r="U25" s="12">
        <f t="shared" si="10"/>
        <v>18.74666666666667</v>
      </c>
      <c r="V25" s="12">
        <f t="shared" si="11"/>
        <v>524.90666666666675</v>
      </c>
      <c r="W25" s="12">
        <f>W22*0.2%</f>
        <v>1.1177777777777778</v>
      </c>
      <c r="X25" s="40">
        <f t="shared" si="12"/>
        <v>1.1349027069708415E-4</v>
      </c>
      <c r="Y25" s="12">
        <f t="shared" si="13"/>
        <v>5.5888888888888886</v>
      </c>
      <c r="Z25" s="12">
        <f t="shared" si="14"/>
        <v>156.48888888888888</v>
      </c>
      <c r="AA25" s="17">
        <f t="shared" si="15"/>
        <v>76.999875555555562</v>
      </c>
      <c r="AB25" s="12">
        <f t="shared" si="16"/>
        <v>2155.9965155555556</v>
      </c>
      <c r="AC25" s="40">
        <f t="shared" si="17"/>
        <v>9.8585335217969098E-5</v>
      </c>
      <c r="AF25" s="24"/>
    </row>
    <row r="26" spans="1:34" x14ac:dyDescent="0.25">
      <c r="A26" s="200"/>
      <c r="B26" s="142"/>
      <c r="C26" s="22" t="s">
        <v>31</v>
      </c>
      <c r="D26" s="16" t="s">
        <v>115</v>
      </c>
      <c r="E26" s="181" t="s">
        <v>128</v>
      </c>
      <c r="F26" s="182"/>
      <c r="G26" s="12">
        <f>G22*1%</f>
        <v>1.4207888888888891</v>
      </c>
      <c r="H26" s="40">
        <f t="shared" si="1"/>
        <v>4.4552737591498819E-4</v>
      </c>
      <c r="I26" s="12">
        <f t="shared" si="2"/>
        <v>170.49466666666669</v>
      </c>
      <c r="J26" s="12">
        <f t="shared" si="3"/>
        <v>4773.8506666666672</v>
      </c>
      <c r="K26" s="12">
        <f>K22*1%</f>
        <v>2.7433333333333332</v>
      </c>
      <c r="L26" s="40">
        <f t="shared" si="4"/>
        <v>5.2170252687559206E-4</v>
      </c>
      <c r="M26" s="12">
        <f t="shared" si="5"/>
        <v>60.353333333333332</v>
      </c>
      <c r="N26" s="12">
        <f t="shared" si="6"/>
        <v>1689.8933333333332</v>
      </c>
      <c r="O26" s="12">
        <f>O22*1%</f>
        <v>2.0296000000000003</v>
      </c>
      <c r="P26" s="40">
        <f t="shared" si="7"/>
        <v>4.8825139333780827E-4</v>
      </c>
      <c r="Q26" s="12">
        <f t="shared" si="8"/>
        <v>32.473600000000005</v>
      </c>
      <c r="R26" s="12">
        <f t="shared" si="0"/>
        <v>909.26080000000013</v>
      </c>
      <c r="S26" s="12">
        <f>S22*1%</f>
        <v>4.9333333333333336</v>
      </c>
      <c r="T26" s="40">
        <f t="shared" si="9"/>
        <v>5.6152447294415637E-4</v>
      </c>
      <c r="U26" s="12">
        <f t="shared" si="10"/>
        <v>93.733333333333334</v>
      </c>
      <c r="V26" s="12">
        <f t="shared" si="11"/>
        <v>2624.5333333333333</v>
      </c>
      <c r="W26" s="12">
        <f>W22*1%</f>
        <v>5.5888888888888895</v>
      </c>
      <c r="X26" s="40">
        <f t="shared" si="12"/>
        <v>5.674513534854208E-4</v>
      </c>
      <c r="Y26" s="12">
        <f t="shared" si="13"/>
        <v>27.944444444444446</v>
      </c>
      <c r="Z26" s="12">
        <f t="shared" si="14"/>
        <v>782.44444444444446</v>
      </c>
      <c r="AA26" s="17">
        <f t="shared" si="15"/>
        <v>384.9993777777778</v>
      </c>
      <c r="AB26" s="12">
        <f t="shared" si="16"/>
        <v>10779.982577777779</v>
      </c>
      <c r="AC26" s="40">
        <f t="shared" si="17"/>
        <v>4.9292667608984554E-4</v>
      </c>
      <c r="AF26" s="24"/>
    </row>
    <row r="27" spans="1:34" x14ac:dyDescent="0.25">
      <c r="A27" s="200"/>
      <c r="B27" s="142"/>
      <c r="C27" s="22" t="s">
        <v>33</v>
      </c>
      <c r="D27" s="16" t="s">
        <v>116</v>
      </c>
      <c r="E27" s="181" t="s">
        <v>129</v>
      </c>
      <c r="F27" s="182"/>
      <c r="G27" s="12">
        <f>G22*1.5%</f>
        <v>2.1311833333333334</v>
      </c>
      <c r="H27" s="40">
        <f t="shared" si="1"/>
        <v>6.6829106387248218E-4</v>
      </c>
      <c r="I27" s="12">
        <f t="shared" si="2"/>
        <v>255.74200000000002</v>
      </c>
      <c r="J27" s="12">
        <f t="shared" si="3"/>
        <v>7160.7760000000007</v>
      </c>
      <c r="K27" s="12">
        <f>K22*1.5%</f>
        <v>4.1149999999999993</v>
      </c>
      <c r="L27" s="40">
        <f t="shared" si="4"/>
        <v>7.8255379031338804E-4</v>
      </c>
      <c r="M27" s="12">
        <f t="shared" si="5"/>
        <v>90.529999999999987</v>
      </c>
      <c r="N27" s="12">
        <f t="shared" si="6"/>
        <v>2534.8399999999997</v>
      </c>
      <c r="O27" s="12">
        <f>O22*1.5%</f>
        <v>3.0444</v>
      </c>
      <c r="P27" s="40">
        <f t="shared" si="7"/>
        <v>7.3237709000671225E-4</v>
      </c>
      <c r="Q27" s="12">
        <f t="shared" si="8"/>
        <v>48.7104</v>
      </c>
      <c r="R27" s="12">
        <f t="shared" si="0"/>
        <v>1363.8912</v>
      </c>
      <c r="S27" s="12">
        <f>S22*1.5%</f>
        <v>7.4</v>
      </c>
      <c r="T27" s="40">
        <f t="shared" si="9"/>
        <v>8.4228670941623456E-4</v>
      </c>
      <c r="U27" s="12">
        <f t="shared" si="10"/>
        <v>140.6</v>
      </c>
      <c r="V27" s="12">
        <f t="shared" si="11"/>
        <v>3936.7999999999997</v>
      </c>
      <c r="W27" s="12">
        <f>W22*1.5%</f>
        <v>8.3833333333333329</v>
      </c>
      <c r="X27" s="40">
        <f t="shared" si="12"/>
        <v>8.5117703022813103E-4</v>
      </c>
      <c r="Y27" s="12">
        <f t="shared" si="13"/>
        <v>41.916666666666664</v>
      </c>
      <c r="Z27" s="12">
        <f t="shared" si="14"/>
        <v>1173.6666666666665</v>
      </c>
      <c r="AA27" s="17">
        <f t="shared" si="15"/>
        <v>577.49906666666664</v>
      </c>
      <c r="AB27" s="12">
        <f t="shared" si="16"/>
        <v>16169.973866666665</v>
      </c>
      <c r="AC27" s="40">
        <f t="shared" si="17"/>
        <v>7.3939001413476815E-4</v>
      </c>
      <c r="AF27" s="24"/>
    </row>
    <row r="28" spans="1:34" x14ac:dyDescent="0.25">
      <c r="A28" s="200"/>
      <c r="B28" s="142"/>
      <c r="C28" s="22" t="s">
        <v>34</v>
      </c>
      <c r="D28" s="16" t="s">
        <v>117</v>
      </c>
      <c r="E28" s="181" t="s">
        <v>130</v>
      </c>
      <c r="F28" s="182"/>
      <c r="G28" s="12">
        <f>G22*0.6%</f>
        <v>0.85247333333333353</v>
      </c>
      <c r="H28" s="40">
        <f t="shared" si="1"/>
        <v>2.6731642554899294E-4</v>
      </c>
      <c r="I28" s="12">
        <f t="shared" si="2"/>
        <v>102.29680000000002</v>
      </c>
      <c r="J28" s="12">
        <f t="shared" si="3"/>
        <v>2864.3104000000003</v>
      </c>
      <c r="K28" s="12">
        <f>K22*0.6%</f>
        <v>1.6459999999999999</v>
      </c>
      <c r="L28" s="40">
        <f t="shared" si="4"/>
        <v>3.1302151612535526E-4</v>
      </c>
      <c r="M28" s="12">
        <f t="shared" si="5"/>
        <v>36.211999999999996</v>
      </c>
      <c r="N28" s="12">
        <f t="shared" si="6"/>
        <v>1013.9359999999999</v>
      </c>
      <c r="O28" s="12">
        <f>O22*0.6%</f>
        <v>1.2177600000000002</v>
      </c>
      <c r="P28" s="40">
        <f t="shared" si="7"/>
        <v>2.9295083600268499E-4</v>
      </c>
      <c r="Q28" s="12">
        <f t="shared" si="8"/>
        <v>19.484160000000003</v>
      </c>
      <c r="R28" s="12">
        <f t="shared" si="0"/>
        <v>545.55648000000008</v>
      </c>
      <c r="S28" s="12">
        <f>S22*0.6%</f>
        <v>2.9600000000000004</v>
      </c>
      <c r="T28" s="40">
        <f t="shared" si="9"/>
        <v>3.3691468376649384E-4</v>
      </c>
      <c r="U28" s="12">
        <f t="shared" si="10"/>
        <v>56.240000000000009</v>
      </c>
      <c r="V28" s="12">
        <f t="shared" si="11"/>
        <v>1574.7200000000003</v>
      </c>
      <c r="W28" s="12">
        <f>W22*0.6%</f>
        <v>3.3533333333333335</v>
      </c>
      <c r="X28" s="40">
        <f t="shared" si="12"/>
        <v>3.4047081209125248E-4</v>
      </c>
      <c r="Y28" s="12">
        <f t="shared" si="13"/>
        <v>16.766666666666666</v>
      </c>
      <c r="Z28" s="12">
        <f t="shared" si="14"/>
        <v>469.46666666666664</v>
      </c>
      <c r="AA28" s="17">
        <f t="shared" si="15"/>
        <v>230.9996266666667</v>
      </c>
      <c r="AB28" s="12">
        <f t="shared" si="16"/>
        <v>6467.9895466666676</v>
      </c>
      <c r="AC28" s="40">
        <f t="shared" si="17"/>
        <v>2.9575600565390735E-4</v>
      </c>
      <c r="AF28" s="24"/>
    </row>
    <row r="29" spans="1:34" x14ac:dyDescent="0.25">
      <c r="A29" s="200"/>
      <c r="B29" s="142"/>
      <c r="C29" s="22" t="s">
        <v>35</v>
      </c>
      <c r="D29" s="23" t="s">
        <v>14</v>
      </c>
      <c r="E29" s="160" t="s">
        <v>131</v>
      </c>
      <c r="F29" s="161"/>
      <c r="G29" s="12">
        <f>G22*2.5%</f>
        <v>3.551972222222223</v>
      </c>
      <c r="H29" s="40">
        <f t="shared" si="1"/>
        <v>1.1138184397874705E-3</v>
      </c>
      <c r="I29" s="12">
        <f t="shared" si="2"/>
        <v>426.23666666666674</v>
      </c>
      <c r="J29" s="12">
        <f t="shared" si="3"/>
        <v>11934.626666666669</v>
      </c>
      <c r="K29" s="12">
        <f>K22*2.5%</f>
        <v>6.8583333333333334</v>
      </c>
      <c r="L29" s="40">
        <f t="shared" si="4"/>
        <v>1.3042563171889803E-3</v>
      </c>
      <c r="M29" s="12">
        <f t="shared" si="5"/>
        <v>150.88333333333333</v>
      </c>
      <c r="N29" s="12">
        <f t="shared" si="6"/>
        <v>4224.7333333333336</v>
      </c>
      <c r="O29" s="12">
        <f>O22*2.5%</f>
        <v>5.0740000000000007</v>
      </c>
      <c r="P29" s="40">
        <f t="shared" si="7"/>
        <v>1.2206284833445207E-3</v>
      </c>
      <c r="Q29" s="12">
        <f t="shared" si="8"/>
        <v>81.184000000000012</v>
      </c>
      <c r="R29" s="12">
        <f t="shared" si="0"/>
        <v>2273.1520000000005</v>
      </c>
      <c r="S29" s="12">
        <f>S22*2.5%</f>
        <v>12.333333333333336</v>
      </c>
      <c r="T29" s="40">
        <f t="shared" si="9"/>
        <v>1.4038111823603911E-3</v>
      </c>
      <c r="U29" s="12">
        <f t="shared" si="10"/>
        <v>234.33333333333337</v>
      </c>
      <c r="V29" s="12">
        <f t="shared" si="11"/>
        <v>6561.3333333333339</v>
      </c>
      <c r="W29" s="12">
        <f>W22*2.5%</f>
        <v>13.972222222222223</v>
      </c>
      <c r="X29" s="40">
        <f t="shared" si="12"/>
        <v>1.4186283837135519E-3</v>
      </c>
      <c r="Y29" s="12">
        <f t="shared" si="13"/>
        <v>69.861111111111114</v>
      </c>
      <c r="Z29" s="12">
        <f t="shared" si="14"/>
        <v>1956.1111111111113</v>
      </c>
      <c r="AA29" s="17">
        <f t="shared" si="15"/>
        <v>962.49844444444454</v>
      </c>
      <c r="AB29" s="12">
        <f t="shared" si="16"/>
        <v>26949.956444444448</v>
      </c>
      <c r="AC29" s="40">
        <f t="shared" si="17"/>
        <v>1.2323166902246138E-3</v>
      </c>
    </row>
    <row r="30" spans="1:34" x14ac:dyDescent="0.25">
      <c r="A30" s="200"/>
      <c r="B30" s="142"/>
      <c r="C30" s="22" t="s">
        <v>44</v>
      </c>
      <c r="D30" s="23" t="s">
        <v>16</v>
      </c>
      <c r="E30" s="170" t="s">
        <v>225</v>
      </c>
      <c r="F30" s="153"/>
      <c r="G30" s="12">
        <f>G22*2.029%</f>
        <v>2.882780655555556</v>
      </c>
      <c r="H30" s="40">
        <f t="shared" si="1"/>
        <v>9.0397504573151103E-4</v>
      </c>
      <c r="I30" s="12">
        <f t="shared" si="2"/>
        <v>345.93367866666671</v>
      </c>
      <c r="J30" s="12">
        <f t="shared" si="3"/>
        <v>9686.1430026666676</v>
      </c>
      <c r="K30" s="12">
        <f>K22*2.029%</f>
        <v>5.5662233333333324</v>
      </c>
      <c r="L30" s="40">
        <f t="shared" si="4"/>
        <v>1.0585344270305761E-3</v>
      </c>
      <c r="M30" s="12">
        <f t="shared" si="5"/>
        <v>122.45691333333332</v>
      </c>
      <c r="N30" s="12">
        <f t="shared" si="6"/>
        <v>3428.7935733333329</v>
      </c>
      <c r="O30" s="12">
        <f>O22*2.029%</f>
        <v>4.1180583999999998</v>
      </c>
      <c r="P30" s="40">
        <f t="shared" si="7"/>
        <v>9.9066207708241273E-4</v>
      </c>
      <c r="Q30" s="12">
        <f t="shared" si="8"/>
        <v>65.888934399999997</v>
      </c>
      <c r="R30" s="12">
        <f t="shared" si="0"/>
        <v>1844.8901632</v>
      </c>
      <c r="S30" s="12">
        <f>S22*2.029%</f>
        <v>10.009733333333333</v>
      </c>
      <c r="T30" s="40">
        <f t="shared" si="9"/>
        <v>1.1393331556036931E-3</v>
      </c>
      <c r="U30" s="12">
        <f t="shared" si="10"/>
        <v>190.18493333333333</v>
      </c>
      <c r="V30" s="12">
        <f t="shared" si="11"/>
        <v>5325.1781333333329</v>
      </c>
      <c r="W30" s="12">
        <f>W22*2.029%</f>
        <v>11.339855555555555</v>
      </c>
      <c r="X30" s="40">
        <f t="shared" si="12"/>
        <v>1.1513587962219186E-3</v>
      </c>
      <c r="Y30" s="12">
        <f t="shared" si="13"/>
        <v>56.69927777777778</v>
      </c>
      <c r="Z30" s="12">
        <f t="shared" si="14"/>
        <v>1587.579777777778</v>
      </c>
      <c r="AA30" s="17">
        <f t="shared" si="15"/>
        <v>781.16373751111109</v>
      </c>
      <c r="AB30" s="12">
        <f t="shared" si="16"/>
        <v>21872.58465031111</v>
      </c>
      <c r="AC30" s="40">
        <f t="shared" si="17"/>
        <v>1.0001482257862965E-3</v>
      </c>
    </row>
    <row r="31" spans="1:34" x14ac:dyDescent="0.25">
      <c r="A31" s="200"/>
      <c r="B31" s="143"/>
      <c r="C31" s="18" t="s">
        <v>47</v>
      </c>
      <c r="D31" s="19" t="s">
        <v>7</v>
      </c>
      <c r="E31" s="158" t="s">
        <v>132</v>
      </c>
      <c r="F31" s="159"/>
      <c r="G31" s="20">
        <f>SUM(G22:G30)</f>
        <v>192.98433398888892</v>
      </c>
      <c r="H31" s="39">
        <f t="shared" si="1"/>
        <v>6.0515537943156929E-2</v>
      </c>
      <c r="I31" s="20">
        <f t="shared" si="2"/>
        <v>23158.12007866667</v>
      </c>
      <c r="J31" s="20">
        <f t="shared" si="3"/>
        <v>648427.36220266682</v>
      </c>
      <c r="K31" s="20">
        <f>SUM(K22:K30)</f>
        <v>372.62422333333336</v>
      </c>
      <c r="L31" s="39">
        <f t="shared" si="4"/>
        <v>7.0862332522984808E-2</v>
      </c>
      <c r="M31" s="20">
        <f t="shared" si="5"/>
        <v>8197.7329133333333</v>
      </c>
      <c r="N31" s="20">
        <f t="shared" si="6"/>
        <v>229536.52157333333</v>
      </c>
      <c r="O31" s="20">
        <f>SUM(O22:O30)</f>
        <v>275.67853839999998</v>
      </c>
      <c r="P31" s="39">
        <f t="shared" si="7"/>
        <v>6.6318698505681145E-2</v>
      </c>
      <c r="Q31" s="20">
        <f t="shared" si="8"/>
        <v>4410.8566143999997</v>
      </c>
      <c r="R31" s="20">
        <f t="shared" si="0"/>
        <v>123503.98520319999</v>
      </c>
      <c r="S31" s="20">
        <f>SUM(S22:S30)</f>
        <v>670.08973333333336</v>
      </c>
      <c r="T31" s="39">
        <f t="shared" si="9"/>
        <v>7.6271307635531804E-2</v>
      </c>
      <c r="U31" s="20">
        <f t="shared" si="10"/>
        <v>12731.704933333334</v>
      </c>
      <c r="V31" s="20">
        <f t="shared" si="11"/>
        <v>356487.73813333339</v>
      </c>
      <c r="W31" s="20">
        <f>SUM(W22:W30)</f>
        <v>759.13318888888887</v>
      </c>
      <c r="X31" s="39">
        <f t="shared" si="12"/>
        <v>7.7076349892571214E-2</v>
      </c>
      <c r="Y31" s="20">
        <f t="shared" si="13"/>
        <v>3795.6659444444444</v>
      </c>
      <c r="Z31" s="20">
        <f t="shared" si="14"/>
        <v>106278.64644444444</v>
      </c>
      <c r="AA31" s="20">
        <f t="shared" si="15"/>
        <v>52294.080484177786</v>
      </c>
      <c r="AB31" s="20">
        <f t="shared" si="16"/>
        <v>1464234.253556978</v>
      </c>
      <c r="AC31" s="39">
        <f t="shared" si="17"/>
        <v>6.6953737486607628E-2</v>
      </c>
    </row>
    <row r="32" spans="1:34" ht="15" customHeight="1" x14ac:dyDescent="0.25">
      <c r="A32" s="200"/>
      <c r="B32" s="141" t="s">
        <v>41</v>
      </c>
      <c r="C32" s="22" t="s">
        <v>48</v>
      </c>
      <c r="D32" s="23" t="s">
        <v>41</v>
      </c>
      <c r="E32" s="160" t="s">
        <v>103</v>
      </c>
      <c r="F32" s="161"/>
      <c r="G32" s="12">
        <f>I4/30*70/28</f>
        <v>106.55916666666667</v>
      </c>
      <c r="H32" s="40">
        <f t="shared" si="1"/>
        <v>3.3414553193624109E-2</v>
      </c>
      <c r="I32" s="12">
        <f t="shared" si="2"/>
        <v>12787.1</v>
      </c>
      <c r="J32" s="12">
        <f t="shared" si="3"/>
        <v>358038.8</v>
      </c>
      <c r="K32" s="12">
        <f>M4/30*70/28</f>
        <v>205.75</v>
      </c>
      <c r="L32" s="40">
        <f t="shared" si="4"/>
        <v>3.912768951566941E-2</v>
      </c>
      <c r="M32" s="12">
        <f t="shared" si="5"/>
        <v>4526.5</v>
      </c>
      <c r="N32" s="12">
        <f t="shared" si="6"/>
        <v>126742</v>
      </c>
      <c r="O32" s="12">
        <f>Q4/30*70/28</f>
        <v>152.22000000000003</v>
      </c>
      <c r="P32" s="40">
        <f t="shared" si="7"/>
        <v>3.6618854500335619E-2</v>
      </c>
      <c r="Q32" s="12">
        <f t="shared" si="8"/>
        <v>2435.5200000000004</v>
      </c>
      <c r="R32" s="12">
        <f t="shared" si="0"/>
        <v>68194.560000000012</v>
      </c>
      <c r="S32" s="12">
        <f>U4/30*70/28</f>
        <v>370</v>
      </c>
      <c r="T32" s="40">
        <f t="shared" si="9"/>
        <v>4.2114335470811726E-2</v>
      </c>
      <c r="U32" s="12">
        <f t="shared" si="10"/>
        <v>7030</v>
      </c>
      <c r="V32" s="12">
        <f t="shared" si="11"/>
        <v>196840</v>
      </c>
      <c r="W32" s="12">
        <f>Y4/30*70/28</f>
        <v>419.16666666666663</v>
      </c>
      <c r="X32" s="40">
        <f t="shared" si="12"/>
        <v>4.2558851511406551E-2</v>
      </c>
      <c r="Y32" s="12">
        <f t="shared" si="13"/>
        <v>2095.833333333333</v>
      </c>
      <c r="Z32" s="12">
        <f t="shared" si="14"/>
        <v>58683.333333333328</v>
      </c>
      <c r="AA32" s="17">
        <f t="shared" si="15"/>
        <v>28874.953333333331</v>
      </c>
      <c r="AB32" s="12">
        <f t="shared" si="16"/>
        <v>808498.69333333324</v>
      </c>
      <c r="AC32" s="40">
        <f t="shared" si="17"/>
        <v>3.6969500706738406E-2</v>
      </c>
    </row>
    <row r="33" spans="1:29" x14ac:dyDescent="0.25">
      <c r="A33" s="200"/>
      <c r="B33" s="142"/>
      <c r="C33" s="22" t="s">
        <v>54</v>
      </c>
      <c r="D33" s="23" t="s">
        <v>9</v>
      </c>
      <c r="E33" s="160" t="s">
        <v>134</v>
      </c>
      <c r="F33" s="161"/>
      <c r="G33" s="12">
        <f>G32*8%</f>
        <v>8.5247333333333337</v>
      </c>
      <c r="H33" s="40">
        <f t="shared" si="1"/>
        <v>2.6731642554899287E-3</v>
      </c>
      <c r="I33" s="12">
        <f t="shared" si="2"/>
        <v>1022.9680000000001</v>
      </c>
      <c r="J33" s="12">
        <f t="shared" si="3"/>
        <v>28643.104000000003</v>
      </c>
      <c r="K33" s="12">
        <f>K32*8%</f>
        <v>16.46</v>
      </c>
      <c r="L33" s="40">
        <f t="shared" si="4"/>
        <v>3.1302151612535526E-3</v>
      </c>
      <c r="M33" s="12">
        <f t="shared" si="5"/>
        <v>362.12</v>
      </c>
      <c r="N33" s="12">
        <f t="shared" si="6"/>
        <v>10139.36</v>
      </c>
      <c r="O33" s="12">
        <f>O32*8%</f>
        <v>12.177600000000002</v>
      </c>
      <c r="P33" s="40">
        <f t="shared" si="7"/>
        <v>2.9295083600268494E-3</v>
      </c>
      <c r="Q33" s="12">
        <f t="shared" si="8"/>
        <v>194.84160000000003</v>
      </c>
      <c r="R33" s="12">
        <f t="shared" si="0"/>
        <v>5455.564800000001</v>
      </c>
      <c r="S33" s="12">
        <f>S32*8%</f>
        <v>29.6</v>
      </c>
      <c r="T33" s="40">
        <f t="shared" si="9"/>
        <v>3.3691468376649382E-3</v>
      </c>
      <c r="U33" s="12">
        <f t="shared" si="10"/>
        <v>562.4</v>
      </c>
      <c r="V33" s="12">
        <f t="shared" si="11"/>
        <v>15747.199999999999</v>
      </c>
      <c r="W33" s="12">
        <f>W32*8%</f>
        <v>33.533333333333331</v>
      </c>
      <c r="X33" s="40">
        <f t="shared" si="12"/>
        <v>3.4047081209125241E-3</v>
      </c>
      <c r="Y33" s="12">
        <f t="shared" si="13"/>
        <v>167.66666666666666</v>
      </c>
      <c r="Z33" s="12">
        <f t="shared" si="14"/>
        <v>4694.6666666666661</v>
      </c>
      <c r="AA33" s="17">
        <f t="shared" si="15"/>
        <v>2309.9962666666665</v>
      </c>
      <c r="AB33" s="12">
        <f t="shared" si="16"/>
        <v>64679.895466666661</v>
      </c>
      <c r="AC33" s="40">
        <f t="shared" si="17"/>
        <v>2.9575600565390726E-3</v>
      </c>
    </row>
    <row r="34" spans="1:29" x14ac:dyDescent="0.25">
      <c r="A34" s="200"/>
      <c r="B34" s="142"/>
      <c r="C34" s="22" t="s">
        <v>55</v>
      </c>
      <c r="D34" s="23" t="s">
        <v>12</v>
      </c>
      <c r="E34" s="160" t="s">
        <v>135</v>
      </c>
      <c r="F34" s="161"/>
      <c r="G34" s="12">
        <f>G32*20%</f>
        <v>21.311833333333336</v>
      </c>
      <c r="H34" s="40">
        <f t="shared" si="1"/>
        <v>6.6829106387248224E-3</v>
      </c>
      <c r="I34" s="12">
        <f t="shared" si="2"/>
        <v>2557.4200000000005</v>
      </c>
      <c r="J34" s="12">
        <f t="shared" si="3"/>
        <v>71607.760000000009</v>
      </c>
      <c r="K34" s="12">
        <f>K32*20%</f>
        <v>41.150000000000006</v>
      </c>
      <c r="L34" s="40">
        <f t="shared" si="4"/>
        <v>7.8255379031338824E-3</v>
      </c>
      <c r="M34" s="12">
        <f t="shared" si="5"/>
        <v>905.30000000000018</v>
      </c>
      <c r="N34" s="12">
        <f t="shared" si="6"/>
        <v>25348.400000000005</v>
      </c>
      <c r="O34" s="12">
        <f>O32*20%</f>
        <v>30.444000000000006</v>
      </c>
      <c r="P34" s="40">
        <f t="shared" si="7"/>
        <v>7.3237709000671244E-3</v>
      </c>
      <c r="Q34" s="12">
        <f t="shared" si="8"/>
        <v>487.1040000000001</v>
      </c>
      <c r="R34" s="12">
        <f t="shared" si="0"/>
        <v>13638.912000000002</v>
      </c>
      <c r="S34" s="12">
        <f>S32*20%</f>
        <v>74</v>
      </c>
      <c r="T34" s="40">
        <f t="shared" si="9"/>
        <v>8.4228670941623451E-3</v>
      </c>
      <c r="U34" s="12">
        <f t="shared" si="10"/>
        <v>1406</v>
      </c>
      <c r="V34" s="12">
        <f t="shared" si="11"/>
        <v>39368</v>
      </c>
      <c r="W34" s="12">
        <f>W32*20%</f>
        <v>83.833333333333329</v>
      </c>
      <c r="X34" s="40">
        <f t="shared" si="12"/>
        <v>8.5117703022813112E-3</v>
      </c>
      <c r="Y34" s="12">
        <f t="shared" si="13"/>
        <v>419.16666666666663</v>
      </c>
      <c r="Z34" s="12">
        <f t="shared" si="14"/>
        <v>11736.666666666666</v>
      </c>
      <c r="AA34" s="17">
        <f t="shared" si="15"/>
        <v>5774.9906666666675</v>
      </c>
      <c r="AB34" s="12">
        <f t="shared" si="16"/>
        <v>161699.7386666667</v>
      </c>
      <c r="AC34" s="40">
        <f t="shared" si="17"/>
        <v>7.3939001413476837E-3</v>
      </c>
    </row>
    <row r="35" spans="1:29" x14ac:dyDescent="0.25">
      <c r="A35" s="200"/>
      <c r="B35" s="142"/>
      <c r="C35" s="22" t="s">
        <v>57</v>
      </c>
      <c r="D35" s="16" t="s">
        <v>99</v>
      </c>
      <c r="E35" s="160" t="s">
        <v>137</v>
      </c>
      <c r="F35" s="161"/>
      <c r="G35" s="12">
        <f>G32*0.2%</f>
        <v>0.21311833333333335</v>
      </c>
      <c r="H35" s="40">
        <f t="shared" si="1"/>
        <v>6.682910638724822E-5</v>
      </c>
      <c r="I35" s="12">
        <f t="shared" si="2"/>
        <v>25.574200000000001</v>
      </c>
      <c r="J35" s="12">
        <f t="shared" si="3"/>
        <v>716.07760000000007</v>
      </c>
      <c r="K35" s="12">
        <f>K32*0.2%</f>
        <v>0.41150000000000003</v>
      </c>
      <c r="L35" s="40">
        <f t="shared" si="4"/>
        <v>7.8255379031338829E-5</v>
      </c>
      <c r="M35" s="12">
        <f t="shared" si="5"/>
        <v>9.0530000000000008</v>
      </c>
      <c r="N35" s="12">
        <f t="shared" si="6"/>
        <v>253.48400000000004</v>
      </c>
      <c r="O35" s="12">
        <f>O32*0.2%</f>
        <v>0.30444000000000004</v>
      </c>
      <c r="P35" s="40">
        <f t="shared" si="7"/>
        <v>7.3237709000671246E-5</v>
      </c>
      <c r="Q35" s="12">
        <f t="shared" si="8"/>
        <v>4.8710400000000007</v>
      </c>
      <c r="R35" s="12">
        <f t="shared" si="0"/>
        <v>136.38912000000002</v>
      </c>
      <c r="S35" s="12">
        <f>S32*0.2%</f>
        <v>0.74</v>
      </c>
      <c r="T35" s="40">
        <f t="shared" si="9"/>
        <v>8.4228670941623448E-5</v>
      </c>
      <c r="U35" s="12">
        <f t="shared" si="10"/>
        <v>14.06</v>
      </c>
      <c r="V35" s="12">
        <f t="shared" si="11"/>
        <v>393.68</v>
      </c>
      <c r="W35" s="12">
        <f>W32*0.2%</f>
        <v>0.83833333333333326</v>
      </c>
      <c r="X35" s="40">
        <f t="shared" si="12"/>
        <v>8.5117703022813106E-5</v>
      </c>
      <c r="Y35" s="12">
        <f t="shared" si="13"/>
        <v>4.1916666666666664</v>
      </c>
      <c r="Z35" s="12">
        <f t="shared" si="14"/>
        <v>117.36666666666666</v>
      </c>
      <c r="AA35" s="17">
        <f t="shared" si="15"/>
        <v>57.749906666666675</v>
      </c>
      <c r="AB35" s="12">
        <f t="shared" si="16"/>
        <v>1616.9973866666669</v>
      </c>
      <c r="AC35" s="40">
        <f t="shared" si="17"/>
        <v>7.3939001413476837E-5</v>
      </c>
    </row>
    <row r="36" spans="1:29" x14ac:dyDescent="0.25">
      <c r="A36" s="200"/>
      <c r="B36" s="142"/>
      <c r="C36" s="22" t="s">
        <v>58</v>
      </c>
      <c r="D36" s="16" t="s">
        <v>115</v>
      </c>
      <c r="E36" s="160" t="s">
        <v>138</v>
      </c>
      <c r="F36" s="161"/>
      <c r="G36" s="12">
        <f>G32*1%</f>
        <v>1.0655916666666667</v>
      </c>
      <c r="H36" s="40">
        <f t="shared" si="1"/>
        <v>3.3414553193624109E-4</v>
      </c>
      <c r="I36" s="12">
        <f t="shared" si="2"/>
        <v>127.87100000000001</v>
      </c>
      <c r="J36" s="12">
        <f t="shared" si="3"/>
        <v>3580.3880000000004</v>
      </c>
      <c r="K36" s="12">
        <f>K32*1%</f>
        <v>2.0575000000000001</v>
      </c>
      <c r="L36" s="40">
        <f t="shared" si="4"/>
        <v>3.9127689515669408E-4</v>
      </c>
      <c r="M36" s="12">
        <f t="shared" si="5"/>
        <v>45.265000000000001</v>
      </c>
      <c r="N36" s="12">
        <f t="shared" si="6"/>
        <v>1267.42</v>
      </c>
      <c r="O36" s="12">
        <f>O32*1%</f>
        <v>1.5222000000000002</v>
      </c>
      <c r="P36" s="40">
        <f t="shared" si="7"/>
        <v>3.6618854500335618E-4</v>
      </c>
      <c r="Q36" s="12">
        <f t="shared" si="8"/>
        <v>24.355200000000004</v>
      </c>
      <c r="R36" s="12">
        <f t="shared" si="0"/>
        <v>681.94560000000013</v>
      </c>
      <c r="S36" s="12">
        <f>S32*1%</f>
        <v>3.7</v>
      </c>
      <c r="T36" s="40">
        <f t="shared" si="9"/>
        <v>4.2114335470811728E-4</v>
      </c>
      <c r="U36" s="12">
        <f t="shared" si="10"/>
        <v>70.3</v>
      </c>
      <c r="V36" s="12">
        <f t="shared" si="11"/>
        <v>1968.3999999999999</v>
      </c>
      <c r="W36" s="12">
        <f>W32*1%</f>
        <v>4.1916666666666664</v>
      </c>
      <c r="X36" s="40">
        <f t="shared" si="12"/>
        <v>4.2558851511406552E-4</v>
      </c>
      <c r="Y36" s="12">
        <f t="shared" si="13"/>
        <v>20.958333333333332</v>
      </c>
      <c r="Z36" s="12">
        <f t="shared" si="14"/>
        <v>586.83333333333326</v>
      </c>
      <c r="AA36" s="17">
        <f t="shared" si="15"/>
        <v>288.74953333333332</v>
      </c>
      <c r="AB36" s="12">
        <f t="shared" si="16"/>
        <v>8084.9869333333327</v>
      </c>
      <c r="AC36" s="40">
        <f t="shared" si="17"/>
        <v>3.6969500706738408E-4</v>
      </c>
    </row>
    <row r="37" spans="1:29" x14ac:dyDescent="0.25">
      <c r="A37" s="200"/>
      <c r="B37" s="142"/>
      <c r="C37" s="22" t="s">
        <v>59</v>
      </c>
      <c r="D37" s="16" t="s">
        <v>116</v>
      </c>
      <c r="E37" s="160" t="s">
        <v>139</v>
      </c>
      <c r="F37" s="161"/>
      <c r="G37" s="12">
        <f>G32*1.5%</f>
        <v>1.5983875000000001</v>
      </c>
      <c r="H37" s="40">
        <f t="shared" si="1"/>
        <v>5.0121829790436166E-4</v>
      </c>
      <c r="I37" s="12">
        <f t="shared" si="2"/>
        <v>191.8065</v>
      </c>
      <c r="J37" s="12">
        <f t="shared" si="3"/>
        <v>5370.5820000000003</v>
      </c>
      <c r="K37" s="12">
        <f>K32*1.5%</f>
        <v>3.0862499999999997</v>
      </c>
      <c r="L37" s="40">
        <f t="shared" si="4"/>
        <v>5.8691534273504111E-4</v>
      </c>
      <c r="M37" s="12">
        <f t="shared" si="5"/>
        <v>67.897499999999994</v>
      </c>
      <c r="N37" s="12">
        <f t="shared" si="6"/>
        <v>1901.1299999999999</v>
      </c>
      <c r="O37" s="12">
        <f>O32*1.5%</f>
        <v>2.2833000000000001</v>
      </c>
      <c r="P37" s="40">
        <f t="shared" si="7"/>
        <v>5.4928281750503427E-4</v>
      </c>
      <c r="Q37" s="12">
        <f t="shared" si="8"/>
        <v>36.532800000000002</v>
      </c>
      <c r="R37" s="12">
        <f t="shared" si="0"/>
        <v>1022.9184</v>
      </c>
      <c r="S37" s="12">
        <f>S32*1.5%</f>
        <v>5.55</v>
      </c>
      <c r="T37" s="40">
        <f t="shared" si="9"/>
        <v>6.3171503206217586E-4</v>
      </c>
      <c r="U37" s="12">
        <f t="shared" si="10"/>
        <v>105.45</v>
      </c>
      <c r="V37" s="12">
        <f t="shared" si="11"/>
        <v>2952.6</v>
      </c>
      <c r="W37" s="12">
        <f>W32*1.5%</f>
        <v>6.2874999999999988</v>
      </c>
      <c r="X37" s="40">
        <f t="shared" si="12"/>
        <v>6.3838277267109827E-4</v>
      </c>
      <c r="Y37" s="12">
        <f t="shared" si="13"/>
        <v>31.437499999999993</v>
      </c>
      <c r="Z37" s="12">
        <f t="shared" si="14"/>
        <v>880.24999999999977</v>
      </c>
      <c r="AA37" s="17">
        <f t="shared" si="15"/>
        <v>433.12430000000001</v>
      </c>
      <c r="AB37" s="12">
        <f t="shared" si="16"/>
        <v>12127.4804</v>
      </c>
      <c r="AC37" s="40">
        <f t="shared" si="17"/>
        <v>5.5454251060107617E-4</v>
      </c>
    </row>
    <row r="38" spans="1:29" x14ac:dyDescent="0.25">
      <c r="A38" s="200"/>
      <c r="B38" s="142"/>
      <c r="C38" s="22" t="s">
        <v>60</v>
      </c>
      <c r="D38" s="16" t="s">
        <v>117</v>
      </c>
      <c r="E38" s="160" t="s">
        <v>140</v>
      </c>
      <c r="F38" s="161"/>
      <c r="G38" s="12">
        <f>G32*0.6%</f>
        <v>0.63935500000000001</v>
      </c>
      <c r="H38" s="40">
        <f t="shared" si="1"/>
        <v>2.0048731916174465E-4</v>
      </c>
      <c r="I38" s="12">
        <f t="shared" si="2"/>
        <v>76.7226</v>
      </c>
      <c r="J38" s="12">
        <f t="shared" si="3"/>
        <v>2148.2327999999998</v>
      </c>
      <c r="K38" s="12">
        <f>K32*0.6%</f>
        <v>1.2344999999999999</v>
      </c>
      <c r="L38" s="40">
        <f t="shared" si="4"/>
        <v>2.3476613709401645E-4</v>
      </c>
      <c r="M38" s="12">
        <f t="shared" si="5"/>
        <v>27.158999999999999</v>
      </c>
      <c r="N38" s="12">
        <f t="shared" si="6"/>
        <v>760.452</v>
      </c>
      <c r="O38" s="12">
        <f>O32*0.6%</f>
        <v>0.91332000000000013</v>
      </c>
      <c r="P38" s="40">
        <f t="shared" si="7"/>
        <v>2.1971312700201371E-4</v>
      </c>
      <c r="Q38" s="12">
        <f t="shared" si="8"/>
        <v>14.613120000000002</v>
      </c>
      <c r="R38" s="12">
        <f t="shared" si="0"/>
        <v>409.16736000000003</v>
      </c>
      <c r="S38" s="12">
        <f>S32*0.6%</f>
        <v>2.2200000000000002</v>
      </c>
      <c r="T38" s="40">
        <f t="shared" si="9"/>
        <v>2.5268601282487036E-4</v>
      </c>
      <c r="U38" s="12">
        <f t="shared" si="10"/>
        <v>42.180000000000007</v>
      </c>
      <c r="V38" s="12">
        <f t="shared" si="11"/>
        <v>1181.0400000000002</v>
      </c>
      <c r="W38" s="12">
        <f>W32*0.6%</f>
        <v>2.5149999999999997</v>
      </c>
      <c r="X38" s="40">
        <f t="shared" si="12"/>
        <v>2.5535310906843933E-4</v>
      </c>
      <c r="Y38" s="12">
        <f t="shared" si="13"/>
        <v>12.574999999999999</v>
      </c>
      <c r="Z38" s="12">
        <f t="shared" si="14"/>
        <v>352.09999999999997</v>
      </c>
      <c r="AA38" s="17">
        <f t="shared" si="15"/>
        <v>173.24972</v>
      </c>
      <c r="AB38" s="12">
        <f t="shared" si="16"/>
        <v>4850.9921599999998</v>
      </c>
      <c r="AC38" s="40">
        <f t="shared" si="17"/>
        <v>2.2181700424043046E-4</v>
      </c>
    </row>
    <row r="39" spans="1:29" x14ac:dyDescent="0.25">
      <c r="A39" s="200"/>
      <c r="B39" s="142"/>
      <c r="C39" s="22" t="s">
        <v>61</v>
      </c>
      <c r="D39" s="23" t="s">
        <v>14</v>
      </c>
      <c r="E39" s="160" t="s">
        <v>136</v>
      </c>
      <c r="F39" s="161"/>
      <c r="G39" s="12">
        <f>G32*2.5%</f>
        <v>2.663979166666667</v>
      </c>
      <c r="H39" s="40">
        <f t="shared" si="1"/>
        <v>8.353638298406028E-4</v>
      </c>
      <c r="I39" s="12">
        <f t="shared" si="2"/>
        <v>319.67750000000007</v>
      </c>
      <c r="J39" s="12">
        <f t="shared" si="3"/>
        <v>8950.9700000000012</v>
      </c>
      <c r="K39" s="12">
        <f>K32*2.5%</f>
        <v>5.1437500000000007</v>
      </c>
      <c r="L39" s="40">
        <f t="shared" si="4"/>
        <v>9.781922378917353E-4</v>
      </c>
      <c r="M39" s="12">
        <f t="shared" si="5"/>
        <v>113.16250000000002</v>
      </c>
      <c r="N39" s="12">
        <f t="shared" si="6"/>
        <v>3168.5500000000006</v>
      </c>
      <c r="O39" s="12">
        <f>O32*2.5%</f>
        <v>3.8055000000000008</v>
      </c>
      <c r="P39" s="40">
        <f t="shared" si="7"/>
        <v>9.1547136250839055E-4</v>
      </c>
      <c r="Q39" s="12">
        <f t="shared" si="8"/>
        <v>60.888000000000012</v>
      </c>
      <c r="R39" s="12">
        <f t="shared" si="0"/>
        <v>1704.8640000000003</v>
      </c>
      <c r="S39" s="12">
        <f>S32*2.5%</f>
        <v>9.25</v>
      </c>
      <c r="T39" s="40">
        <f t="shared" si="9"/>
        <v>1.0528583867702931E-3</v>
      </c>
      <c r="U39" s="12">
        <f t="shared" si="10"/>
        <v>175.75</v>
      </c>
      <c r="V39" s="12">
        <f t="shared" si="11"/>
        <v>4921</v>
      </c>
      <c r="W39" s="12">
        <f>W32*2.5%</f>
        <v>10.479166666666666</v>
      </c>
      <c r="X39" s="40">
        <f t="shared" si="12"/>
        <v>1.0639712877851639E-3</v>
      </c>
      <c r="Y39" s="12">
        <f t="shared" si="13"/>
        <v>52.395833333333329</v>
      </c>
      <c r="Z39" s="12">
        <f t="shared" si="14"/>
        <v>1467.0833333333333</v>
      </c>
      <c r="AA39" s="17">
        <f t="shared" si="15"/>
        <v>721.87383333333344</v>
      </c>
      <c r="AB39" s="12">
        <f t="shared" si="16"/>
        <v>20212.467333333338</v>
      </c>
      <c r="AC39" s="40">
        <f t="shared" si="17"/>
        <v>9.2423751766846046E-4</v>
      </c>
    </row>
    <row r="40" spans="1:29" x14ac:dyDescent="0.25">
      <c r="A40" s="200"/>
      <c r="B40" s="142"/>
      <c r="C40" s="89" t="s">
        <v>65</v>
      </c>
      <c r="D40" s="90" t="s">
        <v>16</v>
      </c>
      <c r="E40" s="202" t="s">
        <v>226</v>
      </c>
      <c r="F40" s="203"/>
      <c r="G40" s="12">
        <f>G32*2.029%</f>
        <v>2.1620854916666667</v>
      </c>
      <c r="H40" s="40">
        <f>G40/$G$80</f>
        <v>6.7798128429863316E-4</v>
      </c>
      <c r="I40" s="12">
        <f t="shared" si="2"/>
        <v>259.45025900000002</v>
      </c>
      <c r="J40" s="12">
        <f t="shared" si="3"/>
        <v>7264.6072520000007</v>
      </c>
      <c r="K40" s="12">
        <f>K32*2.029%</f>
        <v>4.1746675</v>
      </c>
      <c r="L40" s="40">
        <f t="shared" si="4"/>
        <v>7.9390082027293231E-4</v>
      </c>
      <c r="M40" s="12">
        <f t="shared" si="5"/>
        <v>91.842685000000003</v>
      </c>
      <c r="N40" s="12">
        <f t="shared" si="6"/>
        <v>2571.5951800000003</v>
      </c>
      <c r="O40" s="12">
        <f>O32*2.029%</f>
        <v>3.0885438000000005</v>
      </c>
      <c r="P40" s="40">
        <f t="shared" si="7"/>
        <v>7.4299655781180976E-4</v>
      </c>
      <c r="Q40" s="12">
        <f t="shared" si="8"/>
        <v>49.416700800000008</v>
      </c>
      <c r="R40" s="12">
        <f t="shared" si="0"/>
        <v>1383.6676224000003</v>
      </c>
      <c r="S40" s="12">
        <f>S32*2.029%</f>
        <v>7.5072999999999999</v>
      </c>
      <c r="T40" s="40">
        <f t="shared" si="9"/>
        <v>8.5449986670276987E-4</v>
      </c>
      <c r="U40" s="12">
        <f t="shared" si="10"/>
        <v>142.6387</v>
      </c>
      <c r="V40" s="12">
        <f t="shared" si="11"/>
        <v>3993.8836000000001</v>
      </c>
      <c r="W40" s="12">
        <f>W32*2.029%</f>
        <v>8.5048916666666656</v>
      </c>
      <c r="X40" s="40">
        <f t="shared" si="12"/>
        <v>8.6351909716643894E-4</v>
      </c>
      <c r="Y40" s="12">
        <f t="shared" si="13"/>
        <v>42.524458333333328</v>
      </c>
      <c r="Z40" s="12">
        <f t="shared" si="14"/>
        <v>1190.6848333333332</v>
      </c>
      <c r="AA40" s="17">
        <f t="shared" si="15"/>
        <v>585.87280313333338</v>
      </c>
      <c r="AB40" s="12">
        <f t="shared" si="16"/>
        <v>16404.438487733336</v>
      </c>
      <c r="AC40" s="40">
        <f t="shared" si="17"/>
        <v>7.501111693397225E-4</v>
      </c>
    </row>
    <row r="41" spans="1:29" x14ac:dyDescent="0.25">
      <c r="A41" s="200"/>
      <c r="B41" s="143"/>
      <c r="C41" s="18" t="s">
        <v>66</v>
      </c>
      <c r="D41" s="19" t="s">
        <v>7</v>
      </c>
      <c r="E41" s="158" t="s">
        <v>133</v>
      </c>
      <c r="F41" s="159"/>
      <c r="G41" s="20">
        <f>SUM(G32:G40)</f>
        <v>144.73825049166669</v>
      </c>
      <c r="H41" s="39">
        <f t="shared" si="1"/>
        <v>4.5386653457367698E-2</v>
      </c>
      <c r="I41" s="20">
        <f t="shared" si="2"/>
        <v>17368.590059000002</v>
      </c>
      <c r="J41" s="20">
        <f t="shared" si="3"/>
        <v>486320.52165200002</v>
      </c>
      <c r="K41" s="20">
        <f>SUM(K32:K40)</f>
        <v>279.46816750000005</v>
      </c>
      <c r="L41" s="39">
        <f t="shared" si="4"/>
        <v>5.314674939223861E-2</v>
      </c>
      <c r="M41" s="20">
        <f t="shared" si="5"/>
        <v>6148.2996850000009</v>
      </c>
      <c r="N41" s="20">
        <f t="shared" si="6"/>
        <v>172152.39118000004</v>
      </c>
      <c r="O41" s="20">
        <f>SUM(O32:O40)</f>
        <v>206.75890380000004</v>
      </c>
      <c r="P41" s="39">
        <f t="shared" si="7"/>
        <v>4.9739023879260873E-2</v>
      </c>
      <c r="Q41" s="20">
        <f t="shared" si="8"/>
        <v>3308.1424608000007</v>
      </c>
      <c r="R41" s="20">
        <f t="shared" si="0"/>
        <v>92627.988902400015</v>
      </c>
      <c r="S41" s="20">
        <f>SUM(S32:S40)</f>
        <v>502.56730000000005</v>
      </c>
      <c r="T41" s="39">
        <f t="shared" si="9"/>
        <v>5.720348072664886E-2</v>
      </c>
      <c r="U41" s="20">
        <f t="shared" si="10"/>
        <v>9548.7787000000008</v>
      </c>
      <c r="V41" s="20">
        <f t="shared" si="11"/>
        <v>267365.80360000004</v>
      </c>
      <c r="W41" s="20">
        <f>SUM(W32:W40)</f>
        <v>569.34989166666674</v>
      </c>
      <c r="X41" s="39">
        <f t="shared" si="12"/>
        <v>5.7807262419428421E-2</v>
      </c>
      <c r="Y41" s="20">
        <f t="shared" si="13"/>
        <v>2846.7494583333337</v>
      </c>
      <c r="Z41" s="20">
        <f t="shared" si="14"/>
        <v>79708.98483333335</v>
      </c>
      <c r="AA41" s="20">
        <f t="shared" si="15"/>
        <v>39220.560363133336</v>
      </c>
      <c r="AB41" s="20">
        <f t="shared" si="16"/>
        <v>1098175.6901677335</v>
      </c>
      <c r="AC41" s="39">
        <f t="shared" si="17"/>
        <v>5.0215303114955721E-2</v>
      </c>
    </row>
    <row r="42" spans="1:29" ht="15" customHeight="1" x14ac:dyDescent="0.25">
      <c r="A42" s="200"/>
      <c r="B42" s="141" t="s">
        <v>76</v>
      </c>
      <c r="C42" s="22" t="s">
        <v>67</v>
      </c>
      <c r="D42" s="23" t="s">
        <v>2</v>
      </c>
      <c r="E42" s="175" t="s">
        <v>178</v>
      </c>
      <c r="F42" s="176"/>
      <c r="G42" s="12">
        <f>I4/30*(26.6339*28/12)/28</f>
        <v>94.602872969444434</v>
      </c>
      <c r="H42" s="40">
        <f t="shared" si="1"/>
        <v>2.9665328943455502E-2</v>
      </c>
      <c r="I42" s="12">
        <f t="shared" si="2"/>
        <v>11352.344756333332</v>
      </c>
      <c r="J42" s="12">
        <f t="shared" si="3"/>
        <v>317865.6531773333</v>
      </c>
      <c r="K42" s="12">
        <f>M4/30*(26.6339*28/12)/28</f>
        <v>182.66416416666667</v>
      </c>
      <c r="L42" s="40">
        <f t="shared" si="4"/>
        <v>3.4737432326379582E-2</v>
      </c>
      <c r="M42" s="12">
        <f t="shared" si="5"/>
        <v>4018.6116116666667</v>
      </c>
      <c r="N42" s="12">
        <f t="shared" si="6"/>
        <v>112521.12512666667</v>
      </c>
      <c r="O42" s="12">
        <f>Q4/30*(28.1028*28/12)/28</f>
        <v>142.59360720000001</v>
      </c>
      <c r="P42" s="40">
        <f t="shared" si="7"/>
        <v>3.4303078141734389E-2</v>
      </c>
      <c r="Q42" s="12">
        <f t="shared" si="8"/>
        <v>2281.4977152000001</v>
      </c>
      <c r="R42" s="12">
        <f t="shared" si="0"/>
        <v>63881.936025600007</v>
      </c>
      <c r="S42" s="12">
        <f>U4/30*(26.6339*28/12)/28</f>
        <v>328.48476666666664</v>
      </c>
      <c r="T42" s="40">
        <f t="shared" si="9"/>
        <v>3.7388966649868412E-2</v>
      </c>
      <c r="U42" s="12">
        <f t="shared" si="10"/>
        <v>6241.2105666666666</v>
      </c>
      <c r="V42" s="12">
        <f t="shared" si="11"/>
        <v>174753.89586666666</v>
      </c>
      <c r="W42" s="12">
        <f>Y4/30*(26.6339*28/12)/28</f>
        <v>372.13476944444443</v>
      </c>
      <c r="X42" s="40">
        <f t="shared" si="12"/>
        <v>3.778360650898837E-2</v>
      </c>
      <c r="Y42" s="12">
        <f t="shared" si="13"/>
        <v>1860.6738472222221</v>
      </c>
      <c r="Z42" s="12">
        <f t="shared" si="14"/>
        <v>52098.867722222218</v>
      </c>
      <c r="AA42" s="17">
        <f t="shared" si="15"/>
        <v>25754.338497088887</v>
      </c>
      <c r="AB42" s="12">
        <f t="shared" si="16"/>
        <v>721121.4779184889</v>
      </c>
      <c r="AC42" s="40">
        <f t="shared" si="17"/>
        <v>3.2974080486930936E-2</v>
      </c>
    </row>
    <row r="43" spans="1:29" ht="15" customHeight="1" x14ac:dyDescent="0.25">
      <c r="A43" s="200"/>
      <c r="B43" s="142"/>
      <c r="C43" s="22" t="s">
        <v>79</v>
      </c>
      <c r="D43" s="23" t="s">
        <v>50</v>
      </c>
      <c r="E43" s="175" t="s">
        <v>179</v>
      </c>
      <c r="F43" s="176"/>
      <c r="G43" s="12">
        <f>G21/30*(26.6339*28/12)/28</f>
        <v>55.494511355988095</v>
      </c>
      <c r="H43" s="40">
        <f t="shared" si="1"/>
        <v>1.7401828107941674E-2</v>
      </c>
      <c r="I43" s="12">
        <f t="shared" si="2"/>
        <v>6659.341362718571</v>
      </c>
      <c r="J43" s="12">
        <f t="shared" si="3"/>
        <v>186461.55815611998</v>
      </c>
      <c r="K43" s="12">
        <f>K21/30*(26.6339*28/12)/28</f>
        <v>50.588239417857146</v>
      </c>
      <c r="L43" s="40">
        <f t="shared" si="4"/>
        <v>9.6204176188882766E-3</v>
      </c>
      <c r="M43" s="12">
        <f t="shared" si="5"/>
        <v>1112.9412671928571</v>
      </c>
      <c r="N43" s="12">
        <f t="shared" si="6"/>
        <v>31162.355481400002</v>
      </c>
      <c r="O43" s="12">
        <f>O21/30*(28.1028*28/12)/28</f>
        <v>56.172037227428575</v>
      </c>
      <c r="P43" s="40">
        <f t="shared" si="7"/>
        <v>1.3513044660482476E-2</v>
      </c>
      <c r="Q43" s="12">
        <f t="shared" si="8"/>
        <v>898.7525956388572</v>
      </c>
      <c r="R43" s="12">
        <f t="shared" si="0"/>
        <v>25165.072677888002</v>
      </c>
      <c r="S43" s="12">
        <f>S21/30*(26.6339*28/12)/28</f>
        <v>48.502551391666671</v>
      </c>
      <c r="T43" s="40">
        <f t="shared" si="9"/>
        <v>5.5206830283755035E-3</v>
      </c>
      <c r="U43" s="12">
        <f t="shared" si="10"/>
        <v>921.54847644166671</v>
      </c>
      <c r="V43" s="12">
        <f t="shared" si="11"/>
        <v>25803.357340366667</v>
      </c>
      <c r="W43" s="12">
        <f>W21/30*(26.6339*28/12)/28</f>
        <v>48.502551391666671</v>
      </c>
      <c r="X43" s="40">
        <f t="shared" si="12"/>
        <v>4.924563537023397E-3</v>
      </c>
      <c r="Y43" s="12">
        <f t="shared" si="13"/>
        <v>242.51275695833334</v>
      </c>
      <c r="Z43" s="12">
        <f t="shared" si="14"/>
        <v>6790.3571948333338</v>
      </c>
      <c r="AA43" s="17">
        <f t="shared" si="15"/>
        <v>9835.0964589502837</v>
      </c>
      <c r="AB43" s="12">
        <f t="shared" si="16"/>
        <v>275382.70085060794</v>
      </c>
      <c r="AC43" s="40">
        <f t="shared" si="17"/>
        <v>1.2592179848487015E-2</v>
      </c>
    </row>
    <row r="44" spans="1:29" ht="15" customHeight="1" x14ac:dyDescent="0.25">
      <c r="A44" s="200"/>
      <c r="B44" s="142"/>
      <c r="C44" s="22" t="s">
        <v>80</v>
      </c>
      <c r="D44" s="23" t="s">
        <v>74</v>
      </c>
      <c r="E44" s="175" t="s">
        <v>105</v>
      </c>
      <c r="F44" s="176"/>
      <c r="G44" s="12">
        <f>(I4+I4/3)/12/28</f>
        <v>5.0742460317460312</v>
      </c>
      <c r="H44" s="40">
        <f t="shared" si="1"/>
        <v>1.5911691996963859E-3</v>
      </c>
      <c r="I44" s="12">
        <f t="shared" si="2"/>
        <v>608.90952380952376</v>
      </c>
      <c r="J44" s="12">
        <f t="shared" si="3"/>
        <v>17049.466666666667</v>
      </c>
      <c r="K44" s="12">
        <f>(M4+M4/3)/12/28</f>
        <v>9.7976190476190474</v>
      </c>
      <c r="L44" s="40">
        <f t="shared" si="4"/>
        <v>1.8632233102699718E-3</v>
      </c>
      <c r="M44" s="12">
        <f t="shared" si="5"/>
        <v>215.54761904761904</v>
      </c>
      <c r="N44" s="12">
        <f t="shared" si="6"/>
        <v>6035.333333333333</v>
      </c>
      <c r="O44" s="12">
        <f>(Q4+Q4/3)/12/28</f>
        <v>7.2485714285714291</v>
      </c>
      <c r="P44" s="40">
        <f t="shared" si="7"/>
        <v>1.743754976206458E-3</v>
      </c>
      <c r="Q44" s="12">
        <f t="shared" si="8"/>
        <v>115.97714285714287</v>
      </c>
      <c r="R44" s="12">
        <f t="shared" si="0"/>
        <v>3247.36</v>
      </c>
      <c r="S44" s="12">
        <f>(U4+U4/3)/12/28</f>
        <v>17.619047619047617</v>
      </c>
      <c r="T44" s="40">
        <f t="shared" si="9"/>
        <v>2.0054445462291295E-3</v>
      </c>
      <c r="U44" s="12">
        <f t="shared" si="10"/>
        <v>334.7619047619047</v>
      </c>
      <c r="V44" s="12">
        <f t="shared" si="11"/>
        <v>9373.3333333333321</v>
      </c>
      <c r="W44" s="12">
        <f>(Y4+Y4/3)/12/28</f>
        <v>19.960317460317462</v>
      </c>
      <c r="X44" s="40">
        <f t="shared" si="12"/>
        <v>2.0266119767336456E-3</v>
      </c>
      <c r="Y44" s="12">
        <f t="shared" si="13"/>
        <v>99.801587301587318</v>
      </c>
      <c r="Z44" s="12">
        <f t="shared" si="14"/>
        <v>2794.4444444444448</v>
      </c>
      <c r="AA44" s="17">
        <f t="shared" si="15"/>
        <v>1374.9977777777776</v>
      </c>
      <c r="AB44" s="12">
        <f t="shared" si="16"/>
        <v>38499.93777777777</v>
      </c>
      <c r="AC44" s="40">
        <f t="shared" si="17"/>
        <v>1.7604524146065906E-3</v>
      </c>
    </row>
    <row r="45" spans="1:29" ht="15" customHeight="1" x14ac:dyDescent="0.25">
      <c r="A45" s="200"/>
      <c r="B45" s="142"/>
      <c r="C45" s="22" t="s">
        <v>85</v>
      </c>
      <c r="D45" s="23" t="s">
        <v>41</v>
      </c>
      <c r="E45" s="175" t="s">
        <v>81</v>
      </c>
      <c r="F45" s="176"/>
      <c r="G45" s="12">
        <f>I4/12/28</f>
        <v>3.805684523809524</v>
      </c>
      <c r="H45" s="40">
        <f t="shared" si="1"/>
        <v>1.1933768997722898E-3</v>
      </c>
      <c r="I45" s="12">
        <f t="shared" si="2"/>
        <v>456.68214285714288</v>
      </c>
      <c r="J45" s="12">
        <f t="shared" si="3"/>
        <v>12787.1</v>
      </c>
      <c r="K45" s="12">
        <f>M4/12/28</f>
        <v>7.3482142857142856</v>
      </c>
      <c r="L45" s="40">
        <f t="shared" si="4"/>
        <v>1.3974174827024789E-3</v>
      </c>
      <c r="M45" s="12">
        <f t="shared" si="5"/>
        <v>161.66071428571428</v>
      </c>
      <c r="N45" s="12">
        <f t="shared" si="6"/>
        <v>4526.5</v>
      </c>
      <c r="O45" s="12">
        <f>Q4/12/28</f>
        <v>5.4364285714285714</v>
      </c>
      <c r="P45" s="40">
        <f t="shared" si="7"/>
        <v>1.3078162321548434E-3</v>
      </c>
      <c r="Q45" s="12">
        <f t="shared" si="8"/>
        <v>86.982857142857142</v>
      </c>
      <c r="R45" s="12">
        <f t="shared" si="0"/>
        <v>2435.52</v>
      </c>
      <c r="S45" s="12">
        <f>U4/12/28</f>
        <v>13.214285714285714</v>
      </c>
      <c r="T45" s="40">
        <f t="shared" si="9"/>
        <v>1.5040834096718473E-3</v>
      </c>
      <c r="U45" s="12">
        <f t="shared" si="10"/>
        <v>251.07142857142856</v>
      </c>
      <c r="V45" s="12">
        <f t="shared" si="11"/>
        <v>7030</v>
      </c>
      <c r="W45" s="12">
        <f>Y4/12/28</f>
        <v>14.970238095238097</v>
      </c>
      <c r="X45" s="40">
        <f t="shared" si="12"/>
        <v>1.5199589825502344E-3</v>
      </c>
      <c r="Y45" s="12">
        <f t="shared" si="13"/>
        <v>74.851190476190482</v>
      </c>
      <c r="Z45" s="12">
        <f t="shared" si="14"/>
        <v>2095.8333333333335</v>
      </c>
      <c r="AA45" s="17">
        <f t="shared" si="15"/>
        <v>1031.2483333333334</v>
      </c>
      <c r="AB45" s="12">
        <f t="shared" si="16"/>
        <v>28874.953333333338</v>
      </c>
      <c r="AC45" s="40">
        <f t="shared" si="17"/>
        <v>1.3203393109549435E-3</v>
      </c>
    </row>
    <row r="46" spans="1:29" x14ac:dyDescent="0.25">
      <c r="A46" s="200"/>
      <c r="B46" s="142"/>
      <c r="C46" s="22" t="s">
        <v>86</v>
      </c>
      <c r="D46" s="23" t="s">
        <v>9</v>
      </c>
      <c r="E46" s="160" t="s">
        <v>142</v>
      </c>
      <c r="F46" s="161"/>
      <c r="G46" s="12">
        <f>(G42+G44+G45)*8%</f>
        <v>8.2786242819999991</v>
      </c>
      <c r="H46" s="40">
        <f t="shared" si="1"/>
        <v>2.5959900034339344E-3</v>
      </c>
      <c r="I46" s="12">
        <f t="shared" si="2"/>
        <v>993.43491383999992</v>
      </c>
      <c r="J46" s="12">
        <f t="shared" si="3"/>
        <v>27816.177587519996</v>
      </c>
      <c r="K46" s="12">
        <f>(K42+K44+K45)*8%</f>
        <v>15.984799799999999</v>
      </c>
      <c r="L46" s="40">
        <f t="shared" si="4"/>
        <v>3.0398458495481625E-3</v>
      </c>
      <c r="M46" s="12">
        <f t="shared" si="5"/>
        <v>351.66559559999996</v>
      </c>
      <c r="N46" s="12">
        <f t="shared" si="6"/>
        <v>9846.6366767999989</v>
      </c>
      <c r="O46" s="12">
        <f>(O42+O44+O45)*8%</f>
        <v>12.422288576000001</v>
      </c>
      <c r="P46" s="40">
        <f t="shared" si="7"/>
        <v>2.9883719480076555E-3</v>
      </c>
      <c r="Q46" s="12">
        <f t="shared" si="8"/>
        <v>198.75661721600002</v>
      </c>
      <c r="R46" s="12">
        <f t="shared" si="0"/>
        <v>5565.1852820480008</v>
      </c>
      <c r="S46" s="12">
        <f>(S42+S44+S45)*8%</f>
        <v>28.745447999999996</v>
      </c>
      <c r="T46" s="40">
        <f t="shared" si="9"/>
        <v>3.2718795684615505E-3</v>
      </c>
      <c r="U46" s="12">
        <f t="shared" si="10"/>
        <v>546.16351199999997</v>
      </c>
      <c r="V46" s="12">
        <f t="shared" si="11"/>
        <v>15292.578335999999</v>
      </c>
      <c r="W46" s="12">
        <f>(W42+W44+W45)*8%</f>
        <v>32.565225999999996</v>
      </c>
      <c r="X46" s="40">
        <f t="shared" si="12"/>
        <v>3.3064141974617797E-3</v>
      </c>
      <c r="Y46" s="12">
        <f t="shared" si="13"/>
        <v>162.82612999999998</v>
      </c>
      <c r="Z46" s="12">
        <f t="shared" si="14"/>
        <v>4559.1316399999996</v>
      </c>
      <c r="AA46" s="17">
        <f t="shared" si="15"/>
        <v>2252.8467686559998</v>
      </c>
      <c r="AB46" s="12">
        <f t="shared" si="16"/>
        <v>63079.709522367993</v>
      </c>
      <c r="AC46" s="40">
        <f t="shared" si="17"/>
        <v>2.8843897769993973E-3</v>
      </c>
    </row>
    <row r="47" spans="1:29" x14ac:dyDescent="0.25">
      <c r="A47" s="200"/>
      <c r="B47" s="142"/>
      <c r="C47" s="22" t="s">
        <v>88</v>
      </c>
      <c r="D47" s="23" t="s">
        <v>12</v>
      </c>
      <c r="E47" s="160" t="s">
        <v>143</v>
      </c>
      <c r="F47" s="161"/>
      <c r="G47" s="12">
        <f>(G42+G44+G45)*20%</f>
        <v>20.696560704999996</v>
      </c>
      <c r="H47" s="40">
        <f t="shared" si="1"/>
        <v>6.4899750085848354E-3</v>
      </c>
      <c r="I47" s="12">
        <f t="shared" si="2"/>
        <v>2483.5872845999993</v>
      </c>
      <c r="J47" s="12">
        <f t="shared" si="3"/>
        <v>69540.443968799984</v>
      </c>
      <c r="K47" s="12">
        <f>(K42+K44+K45)*20%</f>
        <v>39.961999499999997</v>
      </c>
      <c r="L47" s="40">
        <f t="shared" si="4"/>
        <v>7.5996146238704061E-3</v>
      </c>
      <c r="M47" s="12">
        <f t="shared" si="5"/>
        <v>879.1639889999999</v>
      </c>
      <c r="N47" s="12">
        <f t="shared" si="6"/>
        <v>24616.591691999998</v>
      </c>
      <c r="O47" s="12">
        <f>(O42+O44+O45)*20%</f>
        <v>31.055721440000003</v>
      </c>
      <c r="P47" s="40">
        <f t="shared" si="7"/>
        <v>7.4709298700191386E-3</v>
      </c>
      <c r="Q47" s="12">
        <f t="shared" si="8"/>
        <v>496.89154304000004</v>
      </c>
      <c r="R47" s="12">
        <f t="shared" si="0"/>
        <v>13912.963205120001</v>
      </c>
      <c r="S47" s="12">
        <f>(S42+S44+S45)*20%</f>
        <v>71.863619999999997</v>
      </c>
      <c r="T47" s="40">
        <f t="shared" si="9"/>
        <v>8.179698921153878E-3</v>
      </c>
      <c r="U47" s="12">
        <f t="shared" si="10"/>
        <v>1365.40878</v>
      </c>
      <c r="V47" s="12">
        <f t="shared" si="11"/>
        <v>38231.44584</v>
      </c>
      <c r="W47" s="12">
        <f>(W42+W44+W45)*20%</f>
        <v>81.413065000000003</v>
      </c>
      <c r="X47" s="40">
        <f t="shared" si="12"/>
        <v>8.2660354936544504E-3</v>
      </c>
      <c r="Y47" s="12">
        <f t="shared" si="13"/>
        <v>407.06532500000003</v>
      </c>
      <c r="Z47" s="12">
        <f t="shared" si="14"/>
        <v>11397.829100000001</v>
      </c>
      <c r="AA47" s="17">
        <f t="shared" si="15"/>
        <v>5632.1169216399994</v>
      </c>
      <c r="AB47" s="12">
        <f t="shared" si="16"/>
        <v>157699.27380591998</v>
      </c>
      <c r="AC47" s="40">
        <f t="shared" si="17"/>
        <v>7.2109744424984929E-3</v>
      </c>
    </row>
    <row r="48" spans="1:29" x14ac:dyDescent="0.25">
      <c r="A48" s="200"/>
      <c r="B48" s="142"/>
      <c r="C48" s="22" t="s">
        <v>89</v>
      </c>
      <c r="D48" s="16" t="s">
        <v>99</v>
      </c>
      <c r="E48" s="160" t="s">
        <v>144</v>
      </c>
      <c r="F48" s="161"/>
      <c r="G48" s="12">
        <f>(G42+G44+G45)*0.2%</f>
        <v>0.20696560704999997</v>
      </c>
      <c r="H48" s="40">
        <f t="shared" si="1"/>
        <v>6.4899750085848349E-5</v>
      </c>
      <c r="I48" s="12">
        <f t="shared" si="2"/>
        <v>24.835872845999997</v>
      </c>
      <c r="J48" s="12">
        <f t="shared" si="3"/>
        <v>695.40443968799991</v>
      </c>
      <c r="K48" s="12">
        <f>(K42+K44+K45)*0.2%</f>
        <v>0.39961999499999995</v>
      </c>
      <c r="L48" s="40">
        <f t="shared" si="4"/>
        <v>7.5996146238704057E-5</v>
      </c>
      <c r="M48" s="12">
        <f t="shared" si="5"/>
        <v>8.791639889999999</v>
      </c>
      <c r="N48" s="12">
        <f t="shared" si="6"/>
        <v>246.16591691999997</v>
      </c>
      <c r="O48" s="12">
        <f>(O42+O44+O45)*0.2%</f>
        <v>0.3105572144</v>
      </c>
      <c r="P48" s="40">
        <f t="shared" si="7"/>
        <v>7.4709298700191377E-5</v>
      </c>
      <c r="Q48" s="12">
        <f t="shared" si="8"/>
        <v>4.9689154304000001</v>
      </c>
      <c r="R48" s="12">
        <f t="shared" si="0"/>
        <v>139.12963205119999</v>
      </c>
      <c r="S48" s="12">
        <f>(S42+S44+S45)*0.2%</f>
        <v>0.71863619999999995</v>
      </c>
      <c r="T48" s="40">
        <f t="shared" si="9"/>
        <v>8.1796989211538774E-5</v>
      </c>
      <c r="U48" s="12">
        <f t="shared" si="10"/>
        <v>13.654087799999999</v>
      </c>
      <c r="V48" s="12">
        <f t="shared" si="11"/>
        <v>382.31445839999998</v>
      </c>
      <c r="W48" s="12">
        <f>(W42+W44+W45)*0.2%</f>
        <v>0.81413064999999996</v>
      </c>
      <c r="X48" s="40">
        <f t="shared" si="12"/>
        <v>8.2660354936544495E-5</v>
      </c>
      <c r="Y48" s="12">
        <f t="shared" si="13"/>
        <v>4.0706532499999994</v>
      </c>
      <c r="Z48" s="12">
        <f t="shared" si="14"/>
        <v>113.97829099999998</v>
      </c>
      <c r="AA48" s="17">
        <f t="shared" si="15"/>
        <v>56.321169216400001</v>
      </c>
      <c r="AB48" s="12">
        <f t="shared" si="16"/>
        <v>1576.9927380592001</v>
      </c>
      <c r="AC48" s="40">
        <f t="shared" si="17"/>
        <v>7.2109744424984936E-5</v>
      </c>
    </row>
    <row r="49" spans="1:30" x14ac:dyDescent="0.25">
      <c r="A49" s="200"/>
      <c r="B49" s="142"/>
      <c r="C49" s="22" t="s">
        <v>90</v>
      </c>
      <c r="D49" s="16" t="s">
        <v>115</v>
      </c>
      <c r="E49" s="160" t="s">
        <v>145</v>
      </c>
      <c r="F49" s="161"/>
      <c r="G49" s="12">
        <f>(G42+G44+G45)*1%</f>
        <v>1.0348280352499999</v>
      </c>
      <c r="H49" s="40">
        <f t="shared" si="1"/>
        <v>3.244987504292418E-4</v>
      </c>
      <c r="I49" s="12">
        <f t="shared" si="2"/>
        <v>124.17936422999999</v>
      </c>
      <c r="J49" s="12">
        <f t="shared" si="3"/>
        <v>3477.0221984399996</v>
      </c>
      <c r="K49" s="12">
        <f>(K42+K44+K45)*1%</f>
        <v>1.9980999749999999</v>
      </c>
      <c r="L49" s="40">
        <f t="shared" si="4"/>
        <v>3.7998073119352031E-4</v>
      </c>
      <c r="M49" s="12">
        <f t="shared" si="5"/>
        <v>43.958199449999995</v>
      </c>
      <c r="N49" s="12">
        <f t="shared" si="6"/>
        <v>1230.8295845999999</v>
      </c>
      <c r="O49" s="12">
        <f>(O42+O44+O45)*1%</f>
        <v>1.5527860720000002</v>
      </c>
      <c r="P49" s="40">
        <f t="shared" si="7"/>
        <v>3.7354649350095694E-4</v>
      </c>
      <c r="Q49" s="12">
        <f t="shared" si="8"/>
        <v>24.844577152000003</v>
      </c>
      <c r="R49" s="12">
        <f t="shared" si="0"/>
        <v>695.6481602560001</v>
      </c>
      <c r="S49" s="12">
        <f>(S42+S44+S45)*1%</f>
        <v>3.5931809999999995</v>
      </c>
      <c r="T49" s="40">
        <f t="shared" si="9"/>
        <v>4.0898494605769381E-4</v>
      </c>
      <c r="U49" s="12">
        <f t="shared" si="10"/>
        <v>68.270438999999996</v>
      </c>
      <c r="V49" s="12">
        <f t="shared" si="11"/>
        <v>1911.5722919999998</v>
      </c>
      <c r="W49" s="12">
        <f>(W42+W44+W45)*1%</f>
        <v>4.0706532499999994</v>
      </c>
      <c r="X49" s="40">
        <f t="shared" si="12"/>
        <v>4.1330177468272246E-4</v>
      </c>
      <c r="Y49" s="12">
        <f t="shared" si="13"/>
        <v>20.353266249999997</v>
      </c>
      <c r="Z49" s="12">
        <f t="shared" si="14"/>
        <v>569.89145499999995</v>
      </c>
      <c r="AA49" s="17">
        <f t="shared" si="15"/>
        <v>281.60584608199997</v>
      </c>
      <c r="AB49" s="12">
        <f t="shared" si="16"/>
        <v>7884.9636902959992</v>
      </c>
      <c r="AC49" s="40">
        <f t="shared" si="17"/>
        <v>3.6054872212492467E-4</v>
      </c>
    </row>
    <row r="50" spans="1:30" x14ac:dyDescent="0.25">
      <c r="A50" s="200"/>
      <c r="B50" s="142"/>
      <c r="C50" s="22" t="s">
        <v>91</v>
      </c>
      <c r="D50" s="16" t="s">
        <v>116</v>
      </c>
      <c r="E50" s="160" t="s">
        <v>146</v>
      </c>
      <c r="F50" s="161"/>
      <c r="G50" s="12">
        <f>(G42+G44+G45)*1.5%</f>
        <v>1.5522420528749996</v>
      </c>
      <c r="H50" s="40">
        <f t="shared" si="1"/>
        <v>4.8674812564386262E-4</v>
      </c>
      <c r="I50" s="12">
        <f t="shared" si="2"/>
        <v>186.26904634499996</v>
      </c>
      <c r="J50" s="12">
        <f t="shared" si="3"/>
        <v>5215.5332976599993</v>
      </c>
      <c r="K50" s="12">
        <f>(K42+K44+K45)*1.5%</f>
        <v>2.9971499624999995</v>
      </c>
      <c r="L50" s="40">
        <f t="shared" si="4"/>
        <v>5.6997109679028039E-4</v>
      </c>
      <c r="M50" s="12">
        <f t="shared" si="5"/>
        <v>65.937299174999993</v>
      </c>
      <c r="N50" s="12">
        <f t="shared" si="6"/>
        <v>1846.2443768999997</v>
      </c>
      <c r="O50" s="12">
        <f>(O42+O44+O45)*1.5%</f>
        <v>2.3291791079999999</v>
      </c>
      <c r="P50" s="40">
        <f t="shared" si="7"/>
        <v>5.6031974025143533E-4</v>
      </c>
      <c r="Q50" s="12">
        <f t="shared" si="8"/>
        <v>37.266865727999999</v>
      </c>
      <c r="R50" s="12">
        <f t="shared" si="0"/>
        <v>1043.4722403840001</v>
      </c>
      <c r="S50" s="12">
        <f>(S42+S44+S45)*1.5%</f>
        <v>5.3897714999999993</v>
      </c>
      <c r="T50" s="40">
        <f t="shared" si="9"/>
        <v>6.1347741908654072E-4</v>
      </c>
      <c r="U50" s="12">
        <f t="shared" si="10"/>
        <v>102.40565849999999</v>
      </c>
      <c r="V50" s="12">
        <f t="shared" si="11"/>
        <v>2867.3584379999998</v>
      </c>
      <c r="W50" s="12">
        <f>(W42+W44+W45)*1.5%</f>
        <v>6.1059798749999992</v>
      </c>
      <c r="X50" s="40">
        <f t="shared" si="12"/>
        <v>6.1995266202408367E-4</v>
      </c>
      <c r="Y50" s="12">
        <f t="shared" si="13"/>
        <v>30.529899374999996</v>
      </c>
      <c r="Z50" s="12">
        <f t="shared" si="14"/>
        <v>854.83718249999993</v>
      </c>
      <c r="AA50" s="17">
        <f t="shared" si="15"/>
        <v>422.40876912299996</v>
      </c>
      <c r="AB50" s="12">
        <f t="shared" si="16"/>
        <v>11827.445535444</v>
      </c>
      <c r="AC50" s="40">
        <f t="shared" si="17"/>
        <v>5.4082308318738706E-4</v>
      </c>
    </row>
    <row r="51" spans="1:30" x14ac:dyDescent="0.25">
      <c r="A51" s="200"/>
      <c r="B51" s="142"/>
      <c r="C51" s="22" t="s">
        <v>92</v>
      </c>
      <c r="D51" s="16" t="s">
        <v>117</v>
      </c>
      <c r="E51" s="160" t="s">
        <v>147</v>
      </c>
      <c r="F51" s="161"/>
      <c r="G51" s="12">
        <f>(G42+G44+G45)*0.6%</f>
        <v>0.62089682114999989</v>
      </c>
      <c r="H51" s="40">
        <f t="shared" si="1"/>
        <v>1.9469925025754505E-4</v>
      </c>
      <c r="I51" s="12">
        <f t="shared" si="2"/>
        <v>74.507618537999988</v>
      </c>
      <c r="J51" s="12">
        <f t="shared" si="3"/>
        <v>2086.2133190639997</v>
      </c>
      <c r="K51" s="12">
        <f>(K42+K44+K45)*0.6%</f>
        <v>1.1988599849999999</v>
      </c>
      <c r="L51" s="40">
        <f t="shared" si="4"/>
        <v>2.2798843871611217E-4</v>
      </c>
      <c r="M51" s="12">
        <f t="shared" si="5"/>
        <v>26.374919669999997</v>
      </c>
      <c r="N51" s="12">
        <f t="shared" si="6"/>
        <v>738.49775075999992</v>
      </c>
      <c r="O51" s="12">
        <f>(O42+O44+O45)*0.6%</f>
        <v>0.93167164320000007</v>
      </c>
      <c r="P51" s="40">
        <f t="shared" si="7"/>
        <v>2.2412789610057416E-4</v>
      </c>
      <c r="Q51" s="12">
        <f t="shared" si="8"/>
        <v>14.906746291200001</v>
      </c>
      <c r="R51" s="12">
        <f t="shared" si="0"/>
        <v>417.38889615360006</v>
      </c>
      <c r="S51" s="12">
        <f>(S42+S44+S45)*0.6%</f>
        <v>2.1559085999999996</v>
      </c>
      <c r="T51" s="40">
        <f t="shared" si="9"/>
        <v>2.4539096763461627E-4</v>
      </c>
      <c r="U51" s="12">
        <f t="shared" si="10"/>
        <v>40.962263399999991</v>
      </c>
      <c r="V51" s="12">
        <f t="shared" si="11"/>
        <v>1146.9433751999998</v>
      </c>
      <c r="W51" s="12">
        <f>(W42+W44+W45)*0.6%</f>
        <v>2.4423919499999998</v>
      </c>
      <c r="X51" s="40">
        <f t="shared" si="12"/>
        <v>2.4798106480963345E-4</v>
      </c>
      <c r="Y51" s="12">
        <f t="shared" si="13"/>
        <v>12.211959749999998</v>
      </c>
      <c r="Z51" s="12">
        <f t="shared" si="14"/>
        <v>341.93487299999993</v>
      </c>
      <c r="AA51" s="17">
        <f t="shared" si="15"/>
        <v>168.96350764919998</v>
      </c>
      <c r="AB51" s="12">
        <f t="shared" si="16"/>
        <v>4730.9782141775995</v>
      </c>
      <c r="AC51" s="40">
        <f t="shared" si="17"/>
        <v>2.1632923327495479E-4</v>
      </c>
    </row>
    <row r="52" spans="1:30" x14ac:dyDescent="0.25">
      <c r="A52" s="200"/>
      <c r="B52" s="142"/>
      <c r="C52" s="22" t="s">
        <v>93</v>
      </c>
      <c r="D52" s="23" t="s">
        <v>14</v>
      </c>
      <c r="E52" s="160" t="s">
        <v>220</v>
      </c>
      <c r="F52" s="161"/>
      <c r="G52" s="12">
        <f>(G42+G44+G45)*2.5%</f>
        <v>2.5870700881249995</v>
      </c>
      <c r="H52" s="40">
        <f t="shared" si="1"/>
        <v>8.1124687607310442E-4</v>
      </c>
      <c r="I52" s="12">
        <f t="shared" si="2"/>
        <v>310.44841057499991</v>
      </c>
      <c r="J52" s="12">
        <f t="shared" si="3"/>
        <v>8692.555496099998</v>
      </c>
      <c r="K52" s="12">
        <f>(K42+K44+K45)*2.5%</f>
        <v>4.9952499374999997</v>
      </c>
      <c r="L52" s="40">
        <f t="shared" si="4"/>
        <v>9.4995182798380076E-4</v>
      </c>
      <c r="M52" s="12">
        <f t="shared" si="5"/>
        <v>109.89549862499999</v>
      </c>
      <c r="N52" s="12">
        <f t="shared" si="6"/>
        <v>3077.0739614999998</v>
      </c>
      <c r="O52" s="12">
        <f>(O42+O44+O45)*2.5%</f>
        <v>3.8819651800000003</v>
      </c>
      <c r="P52" s="40">
        <f t="shared" si="7"/>
        <v>9.3386623375239233E-4</v>
      </c>
      <c r="Q52" s="12">
        <f t="shared" si="8"/>
        <v>62.111442880000006</v>
      </c>
      <c r="R52" s="12">
        <f t="shared" si="0"/>
        <v>1739.1204006400001</v>
      </c>
      <c r="S52" s="12">
        <f>(S42+S44+S45)*2.5%</f>
        <v>8.9829524999999997</v>
      </c>
      <c r="T52" s="40">
        <f t="shared" si="9"/>
        <v>1.0224623651442348E-3</v>
      </c>
      <c r="U52" s="12">
        <f t="shared" si="10"/>
        <v>170.6760975</v>
      </c>
      <c r="V52" s="12">
        <f t="shared" si="11"/>
        <v>4778.93073</v>
      </c>
      <c r="W52" s="12">
        <f>(W42+W44+W45)*2.5%</f>
        <v>10.176633125</v>
      </c>
      <c r="X52" s="40">
        <f t="shared" si="12"/>
        <v>1.0332544367068063E-3</v>
      </c>
      <c r="Y52" s="12">
        <f t="shared" si="13"/>
        <v>50.883165625000004</v>
      </c>
      <c r="Z52" s="12">
        <f t="shared" si="14"/>
        <v>1424.7286375000001</v>
      </c>
      <c r="AA52" s="17">
        <f t="shared" si="15"/>
        <v>704.01461520499993</v>
      </c>
      <c r="AB52" s="12">
        <f t="shared" si="16"/>
        <v>19712.409225739997</v>
      </c>
      <c r="AC52" s="40">
        <f t="shared" si="17"/>
        <v>9.0137180531231161E-4</v>
      </c>
    </row>
    <row r="53" spans="1:30" x14ac:dyDescent="0.25">
      <c r="A53" s="200"/>
      <c r="B53" s="142"/>
      <c r="C53" s="22" t="s">
        <v>94</v>
      </c>
      <c r="D53" s="23" t="s">
        <v>16</v>
      </c>
      <c r="E53" s="170" t="s">
        <v>227</v>
      </c>
      <c r="F53" s="153"/>
      <c r="G53" s="12">
        <f>(G42+G44+G45)*2.029%</f>
        <v>2.0996660835222496</v>
      </c>
      <c r="H53" s="40">
        <f>G53/$G$80</f>
        <v>6.5840796462093149E-4</v>
      </c>
      <c r="I53" s="12">
        <f t="shared" si="2"/>
        <v>251.95993002266994</v>
      </c>
      <c r="J53" s="12">
        <f t="shared" si="3"/>
        <v>7054.8780406347578</v>
      </c>
      <c r="K53" s="12">
        <f>(K42+K44+K45)*2.029%</f>
        <v>4.0541448492749996</v>
      </c>
      <c r="L53" s="40">
        <f t="shared" si="4"/>
        <v>7.7098090359165267E-4</v>
      </c>
      <c r="M53" s="12">
        <f t="shared" si="5"/>
        <v>89.191186684049995</v>
      </c>
      <c r="N53" s="12">
        <f t="shared" si="6"/>
        <v>2497.3532271534</v>
      </c>
      <c r="O53" s="12">
        <f>(O42+O44+O45)*2.029%</f>
        <v>3.150602940088</v>
      </c>
      <c r="P53" s="40">
        <f t="shared" si="7"/>
        <v>7.5792583531344158E-4</v>
      </c>
      <c r="Q53" s="12">
        <f>O53*$O$4</f>
        <v>50.409647041408</v>
      </c>
      <c r="R53" s="12">
        <f t="shared" si="0"/>
        <v>1411.470117159424</v>
      </c>
      <c r="S53" s="12">
        <f>(S42+S44+S45)*2.029%</f>
        <v>7.2905642489999991</v>
      </c>
      <c r="T53" s="40">
        <f t="shared" si="9"/>
        <v>8.2983045555106078E-4</v>
      </c>
      <c r="U53" s="12">
        <f t="shared" si="10"/>
        <v>138.52072073099998</v>
      </c>
      <c r="V53" s="12">
        <f t="shared" si="11"/>
        <v>3878.5801804679995</v>
      </c>
      <c r="W53" s="12">
        <f>(W42+W44+W45)*2.029%</f>
        <v>8.2593554442499997</v>
      </c>
      <c r="X53" s="40">
        <f t="shared" si="12"/>
        <v>8.3858930083124386E-4</v>
      </c>
      <c r="Y53" s="12">
        <f t="shared" si="13"/>
        <v>41.296777221249997</v>
      </c>
      <c r="Z53" s="12">
        <f t="shared" si="14"/>
        <v>1156.3097621949998</v>
      </c>
      <c r="AA53" s="17">
        <f t="shared" si="15"/>
        <v>571.37826170037783</v>
      </c>
      <c r="AB53" s="12">
        <f t="shared" si="16"/>
        <v>15998.591327610578</v>
      </c>
      <c r="AC53" s="40">
        <f t="shared" si="17"/>
        <v>7.3155335719147195E-4</v>
      </c>
    </row>
    <row r="54" spans="1:30" x14ac:dyDescent="0.25">
      <c r="A54" s="200"/>
      <c r="B54" s="143"/>
      <c r="C54" s="18" t="s">
        <v>109</v>
      </c>
      <c r="D54" s="19" t="s">
        <v>7</v>
      </c>
      <c r="E54" s="158" t="s">
        <v>141</v>
      </c>
      <c r="F54" s="159"/>
      <c r="G54" s="20">
        <f>SUM(G42:G53)</f>
        <v>196.05416855596033</v>
      </c>
      <c r="H54" s="39">
        <f t="shared" si="1"/>
        <v>6.1478168879995153E-2</v>
      </c>
      <c r="I54" s="20">
        <f t="shared" si="2"/>
        <v>23526.500226715241</v>
      </c>
      <c r="J54" s="20">
        <f t="shared" si="3"/>
        <v>658742.0063480268</v>
      </c>
      <c r="K54" s="20">
        <f>SUM(K42:K53)</f>
        <v>321.98816092213212</v>
      </c>
      <c r="L54" s="39">
        <f t="shared" si="4"/>
        <v>6.1232820356172946E-2</v>
      </c>
      <c r="M54" s="20">
        <f t="shared" si="5"/>
        <v>7083.739540286907</v>
      </c>
      <c r="N54" s="20">
        <f t="shared" si="6"/>
        <v>198344.70712803339</v>
      </c>
      <c r="O54" s="20">
        <f>SUM(O42:O53)</f>
        <v>267.08541660111661</v>
      </c>
      <c r="P54" s="39">
        <f t="shared" si="7"/>
        <v>6.4251491326223958E-2</v>
      </c>
      <c r="Q54" s="20">
        <f t="shared" si="8"/>
        <v>4273.3666656178657</v>
      </c>
      <c r="R54" s="20">
        <f t="shared" si="0"/>
        <v>119654.26663730024</v>
      </c>
      <c r="S54" s="20">
        <f>SUM(S42:S53)</f>
        <v>536.56073344066658</v>
      </c>
      <c r="T54" s="39">
        <f t="shared" si="9"/>
        <v>6.1072699266445998E-2</v>
      </c>
      <c r="U54" s="20">
        <f t="shared" si="10"/>
        <v>10194.653935372666</v>
      </c>
      <c r="V54" s="20">
        <f t="shared" si="11"/>
        <v>285450.31019043463</v>
      </c>
      <c r="W54" s="20">
        <f>SUM(W42:W53)</f>
        <v>601.41531168591655</v>
      </c>
      <c r="X54" s="39">
        <f t="shared" si="12"/>
        <v>6.1062930290402898E-2</v>
      </c>
      <c r="Y54" s="20">
        <f t="shared" si="13"/>
        <v>3007.0765584295827</v>
      </c>
      <c r="Z54" s="20">
        <f t="shared" si="14"/>
        <v>84198.143636028311</v>
      </c>
      <c r="AA54" s="20">
        <f t="shared" si="15"/>
        <v>48085.336926422264</v>
      </c>
      <c r="AB54" s="20">
        <f t="shared" si="16"/>
        <v>1346389.4339398234</v>
      </c>
      <c r="AC54" s="39">
        <f t="shared" si="17"/>
        <v>6.1565152225993416E-2</v>
      </c>
      <c r="AD54" s="3"/>
    </row>
    <row r="55" spans="1:30" x14ac:dyDescent="0.25">
      <c r="A55" s="200"/>
      <c r="B55" s="141" t="s">
        <v>32</v>
      </c>
      <c r="C55" s="25" t="s">
        <v>110</v>
      </c>
      <c r="D55" s="16" t="s">
        <v>42</v>
      </c>
      <c r="E55" s="177" t="s">
        <v>107</v>
      </c>
      <c r="F55" s="178"/>
      <c r="G55" s="17">
        <f>((I4/30*33)*21.36%)/28</f>
        <v>10.730203628571427</v>
      </c>
      <c r="H55" s="38">
        <f t="shared" si="1"/>
        <v>3.3647500364459657E-3</v>
      </c>
      <c r="I55" s="17">
        <f t="shared" si="2"/>
        <v>1287.6244354285714</v>
      </c>
      <c r="J55" s="17">
        <f t="shared" si="3"/>
        <v>36053.484191999996</v>
      </c>
      <c r="K55" s="17">
        <f>((M4/30*33)*21.36%)/28</f>
        <v>20.718437142857141</v>
      </c>
      <c r="L55" s="38">
        <f t="shared" si="4"/>
        <v>3.9400465408292928E-3</v>
      </c>
      <c r="M55" s="17">
        <f t="shared" si="5"/>
        <v>455.8056171428571</v>
      </c>
      <c r="N55" s="17">
        <f t="shared" si="6"/>
        <v>12762.557279999999</v>
      </c>
      <c r="O55" s="17">
        <f>((Q4/30*33)*21.36%)/28</f>
        <v>15.328119085714286</v>
      </c>
      <c r="P55" s="38">
        <f t="shared" si="7"/>
        <v>3.6874140228852241E-3</v>
      </c>
      <c r="Q55" s="17">
        <f t="shared" si="8"/>
        <v>245.24990537142858</v>
      </c>
      <c r="R55" s="17">
        <f t="shared" si="0"/>
        <v>6866.9973504</v>
      </c>
      <c r="S55" s="17">
        <f>((U4/30*33)*21.36%)/28</f>
        <v>37.257942857142851</v>
      </c>
      <c r="T55" s="38">
        <f t="shared" si="9"/>
        <v>4.2407932552379658E-3</v>
      </c>
      <c r="U55" s="17">
        <f t="shared" si="10"/>
        <v>707.90091428571418</v>
      </c>
      <c r="V55" s="17">
        <f t="shared" si="11"/>
        <v>19821.225599999998</v>
      </c>
      <c r="W55" s="17">
        <f>((Y4/30*33)*21.36%)/28</f>
        <v>42.208885714285714</v>
      </c>
      <c r="X55" s="38">
        <f t="shared" si="12"/>
        <v>4.2855547504800362E-3</v>
      </c>
      <c r="Y55" s="17">
        <f t="shared" si="13"/>
        <v>211.04442857142857</v>
      </c>
      <c r="Z55" s="17">
        <f t="shared" si="14"/>
        <v>5909.2439999999997</v>
      </c>
      <c r="AA55" s="17">
        <f t="shared" si="15"/>
        <v>2907.6253007999994</v>
      </c>
      <c r="AB55" s="17">
        <f t="shared" si="16"/>
        <v>81413.508422399987</v>
      </c>
      <c r="AC55" s="38">
        <f t="shared" si="17"/>
        <v>3.722723094023681E-3</v>
      </c>
    </row>
    <row r="56" spans="1:30" x14ac:dyDescent="0.25">
      <c r="A56" s="200"/>
      <c r="B56" s="142"/>
      <c r="C56" s="25" t="s">
        <v>111</v>
      </c>
      <c r="D56" s="16" t="s">
        <v>106</v>
      </c>
      <c r="E56" s="181" t="s">
        <v>82</v>
      </c>
      <c r="F56" s="182"/>
      <c r="G56" s="17">
        <f>(I4+I4/3)/12/28</f>
        <v>5.0742460317460312</v>
      </c>
      <c r="H56" s="38">
        <f t="shared" si="1"/>
        <v>1.5911691996963859E-3</v>
      </c>
      <c r="I56" s="17">
        <f t="shared" si="2"/>
        <v>608.90952380952376</v>
      </c>
      <c r="J56" s="17">
        <f t="shared" si="3"/>
        <v>17049.466666666667</v>
      </c>
      <c r="K56" s="17">
        <f>(M4+M4/3)/12/28</f>
        <v>9.7976190476190474</v>
      </c>
      <c r="L56" s="38">
        <f t="shared" si="4"/>
        <v>1.8632233102699718E-3</v>
      </c>
      <c r="M56" s="17">
        <f t="shared" si="5"/>
        <v>215.54761904761904</v>
      </c>
      <c r="N56" s="17">
        <f t="shared" si="6"/>
        <v>6035.333333333333</v>
      </c>
      <c r="O56" s="17">
        <f>(Q4+Q4/3)/12/28</f>
        <v>7.2485714285714291</v>
      </c>
      <c r="P56" s="38">
        <f t="shared" si="7"/>
        <v>1.743754976206458E-3</v>
      </c>
      <c r="Q56" s="17">
        <f t="shared" si="8"/>
        <v>115.97714285714287</v>
      </c>
      <c r="R56" s="17">
        <f t="shared" si="0"/>
        <v>3247.36</v>
      </c>
      <c r="S56" s="17">
        <f>(U4+U4/3)/12/28</f>
        <v>17.619047619047617</v>
      </c>
      <c r="T56" s="38">
        <f t="shared" si="9"/>
        <v>2.0054445462291295E-3</v>
      </c>
      <c r="U56" s="17">
        <f t="shared" si="10"/>
        <v>334.7619047619047</v>
      </c>
      <c r="V56" s="17">
        <f t="shared" si="11"/>
        <v>9373.3333333333321</v>
      </c>
      <c r="W56" s="17">
        <f>(Y4+Y4/3)/12/28</f>
        <v>19.960317460317462</v>
      </c>
      <c r="X56" s="38">
        <f t="shared" si="12"/>
        <v>2.0266119767336456E-3</v>
      </c>
      <c r="Y56" s="17">
        <f t="shared" si="13"/>
        <v>99.801587301587318</v>
      </c>
      <c r="Z56" s="17">
        <f t="shared" si="14"/>
        <v>2794.4444444444448</v>
      </c>
      <c r="AA56" s="17">
        <f t="shared" si="15"/>
        <v>1374.9977777777776</v>
      </c>
      <c r="AB56" s="17">
        <f t="shared" si="16"/>
        <v>38499.93777777777</v>
      </c>
      <c r="AC56" s="38">
        <f t="shared" si="17"/>
        <v>1.7604524146065906E-3</v>
      </c>
    </row>
    <row r="57" spans="1:30" x14ac:dyDescent="0.25">
      <c r="A57" s="200"/>
      <c r="B57" s="142"/>
      <c r="C57" s="25" t="s">
        <v>148</v>
      </c>
      <c r="D57" s="16" t="s">
        <v>46</v>
      </c>
      <c r="E57" s="181" t="s">
        <v>81</v>
      </c>
      <c r="F57" s="182"/>
      <c r="G57" s="17">
        <f>I4/12/28</f>
        <v>3.805684523809524</v>
      </c>
      <c r="H57" s="38">
        <f t="shared" si="1"/>
        <v>1.1933768997722898E-3</v>
      </c>
      <c r="I57" s="17">
        <f t="shared" si="2"/>
        <v>456.68214285714288</v>
      </c>
      <c r="J57" s="17">
        <f t="shared" si="3"/>
        <v>12787.1</v>
      </c>
      <c r="K57" s="17">
        <f>M4/12/28</f>
        <v>7.3482142857142856</v>
      </c>
      <c r="L57" s="38">
        <f t="shared" si="4"/>
        <v>1.3974174827024789E-3</v>
      </c>
      <c r="M57" s="17">
        <f t="shared" si="5"/>
        <v>161.66071428571428</v>
      </c>
      <c r="N57" s="17">
        <f t="shared" si="6"/>
        <v>4526.5</v>
      </c>
      <c r="O57" s="17">
        <f>Q4/12/28</f>
        <v>5.4364285714285714</v>
      </c>
      <c r="P57" s="38">
        <f t="shared" si="7"/>
        <v>1.3078162321548434E-3</v>
      </c>
      <c r="Q57" s="17">
        <f t="shared" si="8"/>
        <v>86.982857142857142</v>
      </c>
      <c r="R57" s="17">
        <f t="shared" si="0"/>
        <v>2435.52</v>
      </c>
      <c r="S57" s="17">
        <f>U4/12/28</f>
        <v>13.214285714285714</v>
      </c>
      <c r="T57" s="38">
        <f t="shared" si="9"/>
        <v>1.5040834096718473E-3</v>
      </c>
      <c r="U57" s="17">
        <f t="shared" si="10"/>
        <v>251.07142857142856</v>
      </c>
      <c r="V57" s="17">
        <f t="shared" si="11"/>
        <v>7030</v>
      </c>
      <c r="W57" s="17">
        <f>Y4/12/28</f>
        <v>14.970238095238097</v>
      </c>
      <c r="X57" s="38">
        <f t="shared" si="12"/>
        <v>1.5199589825502344E-3</v>
      </c>
      <c r="Y57" s="17">
        <f t="shared" si="13"/>
        <v>74.851190476190482</v>
      </c>
      <c r="Z57" s="17">
        <f t="shared" si="14"/>
        <v>2095.8333333333335</v>
      </c>
      <c r="AA57" s="17">
        <f t="shared" si="15"/>
        <v>1031.2483333333334</v>
      </c>
      <c r="AB57" s="17">
        <f t="shared" si="16"/>
        <v>28874.953333333338</v>
      </c>
      <c r="AC57" s="38">
        <f t="shared" si="17"/>
        <v>1.3203393109549435E-3</v>
      </c>
    </row>
    <row r="58" spans="1:30" x14ac:dyDescent="0.25">
      <c r="A58" s="200"/>
      <c r="B58" s="142"/>
      <c r="C58" s="25" t="s">
        <v>149</v>
      </c>
      <c r="D58" s="16" t="s">
        <v>9</v>
      </c>
      <c r="E58" s="181" t="s">
        <v>160</v>
      </c>
      <c r="F58" s="182"/>
      <c r="G58" s="17">
        <f>(G55+G57)*8%</f>
        <v>1.1628710521904762</v>
      </c>
      <c r="H58" s="38">
        <f t="shared" si="1"/>
        <v>3.6465015489746042E-4</v>
      </c>
      <c r="I58" s="17">
        <f t="shared" si="2"/>
        <v>139.54452626285715</v>
      </c>
      <c r="J58" s="17">
        <f t="shared" si="3"/>
        <v>3907.24673536</v>
      </c>
      <c r="K58" s="17">
        <f>(K55+K57)*8%</f>
        <v>2.2453321142857141</v>
      </c>
      <c r="L58" s="38">
        <f t="shared" si="4"/>
        <v>4.2699712188254174E-4</v>
      </c>
      <c r="M58" s="17">
        <f t="shared" si="5"/>
        <v>49.39730651428571</v>
      </c>
      <c r="N58" s="17">
        <f t="shared" si="6"/>
        <v>1383.1245823999998</v>
      </c>
      <c r="O58" s="17">
        <f>(O55+O57)*8%</f>
        <v>1.6611638125714285</v>
      </c>
      <c r="P58" s="38">
        <f t="shared" si="7"/>
        <v>3.9961842040320538E-4</v>
      </c>
      <c r="Q58" s="17">
        <f t="shared" si="8"/>
        <v>26.578621001142857</v>
      </c>
      <c r="R58" s="17">
        <f t="shared" si="0"/>
        <v>744.20138803199995</v>
      </c>
      <c r="S58" s="17">
        <f>(S55+S57)*8%</f>
        <v>4.0377782857142854</v>
      </c>
      <c r="T58" s="38">
        <f t="shared" si="9"/>
        <v>4.595901331927851E-4</v>
      </c>
      <c r="U58" s="17">
        <f t="shared" si="10"/>
        <v>76.717787428571427</v>
      </c>
      <c r="V58" s="17">
        <f t="shared" si="11"/>
        <v>2148.0980479999998</v>
      </c>
      <c r="W58" s="17">
        <f>(W55+W57)*8%</f>
        <v>4.574329904761905</v>
      </c>
      <c r="X58" s="38">
        <f t="shared" si="12"/>
        <v>4.6444109864242166E-4</v>
      </c>
      <c r="Y58" s="17">
        <f t="shared" si="13"/>
        <v>22.871649523809523</v>
      </c>
      <c r="Z58" s="17">
        <f t="shared" si="14"/>
        <v>640.4061866666666</v>
      </c>
      <c r="AA58" s="17">
        <f t="shared" si="15"/>
        <v>315.10989073066668</v>
      </c>
      <c r="AB58" s="17">
        <f t="shared" si="16"/>
        <v>8823.0769404586663</v>
      </c>
      <c r="AC58" s="38">
        <f t="shared" si="17"/>
        <v>4.0344499239828999E-4</v>
      </c>
    </row>
    <row r="59" spans="1:30" x14ac:dyDescent="0.25">
      <c r="A59" s="200"/>
      <c r="B59" s="142"/>
      <c r="C59" s="25" t="s">
        <v>150</v>
      </c>
      <c r="D59" s="16" t="s">
        <v>12</v>
      </c>
      <c r="E59" s="181" t="s">
        <v>161</v>
      </c>
      <c r="F59" s="182"/>
      <c r="G59" s="17">
        <f>(G55+G57)*20%</f>
        <v>2.9071776304761907</v>
      </c>
      <c r="H59" s="38">
        <f t="shared" si="1"/>
        <v>9.1162538724365121E-4</v>
      </c>
      <c r="I59" s="17">
        <f t="shared" si="2"/>
        <v>348.86131565714288</v>
      </c>
      <c r="J59" s="17">
        <f t="shared" si="3"/>
        <v>9768.1168384000011</v>
      </c>
      <c r="K59" s="17">
        <f>(K55+K57)*20%</f>
        <v>5.6133302857142855</v>
      </c>
      <c r="L59" s="38">
        <f t="shared" si="4"/>
        <v>1.0674928047063545E-3</v>
      </c>
      <c r="M59" s="17">
        <f t="shared" si="5"/>
        <v>123.49326628571428</v>
      </c>
      <c r="N59" s="17">
        <f t="shared" si="6"/>
        <v>3457.8114559999999</v>
      </c>
      <c r="O59" s="17">
        <f>(O55+O57)*20%</f>
        <v>4.1529095314285716</v>
      </c>
      <c r="P59" s="38">
        <f t="shared" si="7"/>
        <v>9.9904605100801353E-4</v>
      </c>
      <c r="Q59" s="17">
        <f t="shared" si="8"/>
        <v>66.446552502857145</v>
      </c>
      <c r="R59" s="17">
        <f t="shared" si="0"/>
        <v>1860.5034700800002</v>
      </c>
      <c r="S59" s="17">
        <f>(S55+S57)*20%</f>
        <v>10.094445714285714</v>
      </c>
      <c r="T59" s="38">
        <f t="shared" si="9"/>
        <v>1.1489753329819627E-3</v>
      </c>
      <c r="U59" s="17">
        <f t="shared" si="10"/>
        <v>191.79446857142855</v>
      </c>
      <c r="V59" s="17">
        <f t="shared" si="11"/>
        <v>5370.2451199999996</v>
      </c>
      <c r="W59" s="17">
        <f>(W55+W57)*20%</f>
        <v>11.435824761904762</v>
      </c>
      <c r="X59" s="38">
        <f t="shared" si="12"/>
        <v>1.1611027466060541E-3</v>
      </c>
      <c r="Y59" s="17">
        <f t="shared" si="13"/>
        <v>57.179123809523809</v>
      </c>
      <c r="Z59" s="17">
        <f t="shared" si="14"/>
        <v>1601.0154666666667</v>
      </c>
      <c r="AA59" s="17">
        <f t="shared" si="15"/>
        <v>787.77472682666667</v>
      </c>
      <c r="AB59" s="17">
        <f t="shared" si="16"/>
        <v>22057.692351146667</v>
      </c>
      <c r="AC59" s="38">
        <f t="shared" si="17"/>
        <v>1.0086124809957251E-3</v>
      </c>
    </row>
    <row r="60" spans="1:30" x14ac:dyDescent="0.25">
      <c r="A60" s="200"/>
      <c r="B60" s="142"/>
      <c r="C60" s="25" t="s">
        <v>151</v>
      </c>
      <c r="D60" s="16" t="s">
        <v>99</v>
      </c>
      <c r="E60" s="181" t="s">
        <v>163</v>
      </c>
      <c r="F60" s="182"/>
      <c r="G60" s="17">
        <f>(G55+G57)*0.2%</f>
        <v>2.9071776304761904E-2</v>
      </c>
      <c r="H60" s="38">
        <f t="shared" si="1"/>
        <v>9.1162538724365115E-6</v>
      </c>
      <c r="I60" s="17">
        <f t="shared" si="2"/>
        <v>3.4886131565714287</v>
      </c>
      <c r="J60" s="17">
        <f t="shared" si="3"/>
        <v>97.681168384000003</v>
      </c>
      <c r="K60" s="17">
        <f>(K55+K57)*0.2%</f>
        <v>5.6133302857142853E-2</v>
      </c>
      <c r="L60" s="38">
        <f t="shared" si="4"/>
        <v>1.0674928047063543E-5</v>
      </c>
      <c r="M60" s="17">
        <f t="shared" si="5"/>
        <v>1.2349326628571426</v>
      </c>
      <c r="N60" s="17">
        <f t="shared" si="6"/>
        <v>34.578114559999996</v>
      </c>
      <c r="O60" s="17">
        <f>(O55+O57)*0.2%</f>
        <v>4.1529095314285711E-2</v>
      </c>
      <c r="P60" s="38">
        <f t="shared" si="7"/>
        <v>9.9904605100801331E-6</v>
      </c>
      <c r="Q60" s="17">
        <f t="shared" si="8"/>
        <v>0.66446552502857137</v>
      </c>
      <c r="R60" s="17">
        <f t="shared" si="0"/>
        <v>18.605034700799997</v>
      </c>
      <c r="S60" s="17">
        <f>(S55+S57)*0.2%</f>
        <v>0.10094445714285713</v>
      </c>
      <c r="T60" s="38">
        <f t="shared" si="9"/>
        <v>1.1489753329819626E-5</v>
      </c>
      <c r="U60" s="17">
        <f t="shared" si="10"/>
        <v>1.9179446857142854</v>
      </c>
      <c r="V60" s="17">
        <f t="shared" si="11"/>
        <v>53.702451199999992</v>
      </c>
      <c r="W60" s="17">
        <f>(W55+W57)*0.2%</f>
        <v>0.11435824761904761</v>
      </c>
      <c r="X60" s="38">
        <f t="shared" si="12"/>
        <v>1.161102746606054E-5</v>
      </c>
      <c r="Y60" s="17">
        <f t="shared" si="13"/>
        <v>0.57179123809523813</v>
      </c>
      <c r="Z60" s="17">
        <f t="shared" si="14"/>
        <v>16.010154666666669</v>
      </c>
      <c r="AA60" s="17">
        <f t="shared" si="15"/>
        <v>7.877747268266666</v>
      </c>
      <c r="AB60" s="17">
        <f t="shared" si="16"/>
        <v>220.57692351146665</v>
      </c>
      <c r="AC60" s="38">
        <f t="shared" si="17"/>
        <v>1.0086124809957248E-5</v>
      </c>
    </row>
    <row r="61" spans="1:30" x14ac:dyDescent="0.25">
      <c r="A61" s="200"/>
      <c r="B61" s="142"/>
      <c r="C61" s="25" t="s">
        <v>152</v>
      </c>
      <c r="D61" s="16" t="s">
        <v>115</v>
      </c>
      <c r="E61" s="181" t="s">
        <v>164</v>
      </c>
      <c r="F61" s="182"/>
      <c r="G61" s="17">
        <f>(G55+G57)*1%</f>
        <v>0.14535888152380952</v>
      </c>
      <c r="H61" s="38">
        <f t="shared" si="1"/>
        <v>4.5581269362182552E-5</v>
      </c>
      <c r="I61" s="17">
        <f t="shared" si="2"/>
        <v>17.443065782857143</v>
      </c>
      <c r="J61" s="17">
        <f t="shared" si="3"/>
        <v>488.40584192</v>
      </c>
      <c r="K61" s="17">
        <f>(K55+K57)*1%</f>
        <v>0.28066651428571426</v>
      </c>
      <c r="L61" s="38">
        <f t="shared" si="4"/>
        <v>5.3374640235317718E-5</v>
      </c>
      <c r="M61" s="17">
        <f t="shared" si="5"/>
        <v>6.1746633142857137</v>
      </c>
      <c r="N61" s="17">
        <f t="shared" si="6"/>
        <v>172.89057279999997</v>
      </c>
      <c r="O61" s="17">
        <f>(O55+O57)*1%</f>
        <v>0.20764547657142857</v>
      </c>
      <c r="P61" s="38">
        <f t="shared" si="7"/>
        <v>4.9952302550400672E-5</v>
      </c>
      <c r="Q61" s="17">
        <f t="shared" si="8"/>
        <v>3.3223276251428571</v>
      </c>
      <c r="R61" s="17">
        <f t="shared" si="0"/>
        <v>93.025173503999994</v>
      </c>
      <c r="S61" s="17">
        <f>(S55+S57)*1%</f>
        <v>0.50472228571428568</v>
      </c>
      <c r="T61" s="38">
        <f t="shared" si="9"/>
        <v>5.7448766649098137E-5</v>
      </c>
      <c r="U61" s="17">
        <f t="shared" si="10"/>
        <v>9.5897234285714283</v>
      </c>
      <c r="V61" s="17">
        <f t="shared" si="11"/>
        <v>268.51225599999998</v>
      </c>
      <c r="W61" s="17">
        <f>(W55+W57)*1%</f>
        <v>0.57179123809523813</v>
      </c>
      <c r="X61" s="38">
        <f t="shared" si="12"/>
        <v>5.8055137330302707E-5</v>
      </c>
      <c r="Y61" s="17">
        <f t="shared" si="13"/>
        <v>2.8589561904761904</v>
      </c>
      <c r="Z61" s="17">
        <f t="shared" si="14"/>
        <v>80.050773333333325</v>
      </c>
      <c r="AA61" s="17">
        <f t="shared" si="15"/>
        <v>39.388736341333335</v>
      </c>
      <c r="AB61" s="17">
        <f t="shared" si="16"/>
        <v>1102.8846175573333</v>
      </c>
      <c r="AC61" s="38">
        <f t="shared" si="17"/>
        <v>5.0430624049786249E-5</v>
      </c>
    </row>
    <row r="62" spans="1:30" x14ac:dyDescent="0.25">
      <c r="A62" s="200"/>
      <c r="B62" s="142"/>
      <c r="C62" s="25" t="s">
        <v>153</v>
      </c>
      <c r="D62" s="16" t="s">
        <v>116</v>
      </c>
      <c r="E62" s="181" t="s">
        <v>165</v>
      </c>
      <c r="F62" s="182"/>
      <c r="G62" s="17">
        <f>(G55+G57)*1.5%</f>
        <v>0.21803832228571426</v>
      </c>
      <c r="H62" s="38">
        <f t="shared" si="1"/>
        <v>6.8371904043273822E-5</v>
      </c>
      <c r="I62" s="17">
        <f t="shared" si="2"/>
        <v>26.164598674285713</v>
      </c>
      <c r="J62" s="17">
        <f t="shared" si="3"/>
        <v>732.60876287999997</v>
      </c>
      <c r="K62" s="17">
        <f>(K55+K57)*1.5%</f>
        <v>0.42099977142857137</v>
      </c>
      <c r="L62" s="38">
        <f t="shared" si="4"/>
        <v>8.0061960352976563E-5</v>
      </c>
      <c r="M62" s="17">
        <f t="shared" si="5"/>
        <v>9.261994971428571</v>
      </c>
      <c r="N62" s="17">
        <f t="shared" si="6"/>
        <v>259.33585919999996</v>
      </c>
      <c r="O62" s="17">
        <f>(O55+O57)*1.5%</f>
        <v>0.31146821485714282</v>
      </c>
      <c r="P62" s="38">
        <f t="shared" si="7"/>
        <v>7.4928453825600998E-5</v>
      </c>
      <c r="Q62" s="17">
        <f t="shared" si="8"/>
        <v>4.9834914377142852</v>
      </c>
      <c r="R62" s="17">
        <f t="shared" si="0"/>
        <v>139.53776025599998</v>
      </c>
      <c r="S62" s="17">
        <f>(S55+S57)*1.5%</f>
        <v>0.75708342857142852</v>
      </c>
      <c r="T62" s="38">
        <f t="shared" si="9"/>
        <v>8.6173149973647206E-5</v>
      </c>
      <c r="U62" s="17">
        <f t="shared" si="10"/>
        <v>14.384585142857143</v>
      </c>
      <c r="V62" s="17">
        <f t="shared" si="11"/>
        <v>402.76838399999997</v>
      </c>
      <c r="W62" s="17">
        <f>(W55+W57)*1.5%</f>
        <v>0.85768685714285708</v>
      </c>
      <c r="X62" s="38">
        <f t="shared" si="12"/>
        <v>8.7082705995454051E-5</v>
      </c>
      <c r="Y62" s="17">
        <f t="shared" si="13"/>
        <v>4.2884342857142856</v>
      </c>
      <c r="Z62" s="17">
        <f t="shared" si="14"/>
        <v>120.07616</v>
      </c>
      <c r="AA62" s="17">
        <f t="shared" si="15"/>
        <v>59.083104511999998</v>
      </c>
      <c r="AB62" s="17">
        <f t="shared" si="16"/>
        <v>1654.326926336</v>
      </c>
      <c r="AC62" s="38">
        <f t="shared" si="17"/>
        <v>7.5645936074679384E-5</v>
      </c>
    </row>
    <row r="63" spans="1:30" x14ac:dyDescent="0.25">
      <c r="A63" s="200"/>
      <c r="B63" s="142"/>
      <c r="C63" s="25" t="s">
        <v>154</v>
      </c>
      <c r="D63" s="16" t="s">
        <v>117</v>
      </c>
      <c r="E63" s="181" t="s">
        <v>166</v>
      </c>
      <c r="F63" s="182"/>
      <c r="G63" s="17">
        <f>(G55+G57)*0.6%</f>
        <v>8.7215328914285711E-2</v>
      </c>
      <c r="H63" s="38">
        <f t="shared" si="1"/>
        <v>2.7348761617309533E-5</v>
      </c>
      <c r="I63" s="17">
        <f t="shared" si="2"/>
        <v>10.465839469714286</v>
      </c>
      <c r="J63" s="17">
        <f t="shared" si="3"/>
        <v>293.04350515200002</v>
      </c>
      <c r="K63" s="17">
        <f>(K55+K57)*0.6%</f>
        <v>0.16839990857142856</v>
      </c>
      <c r="L63" s="38">
        <f t="shared" si="4"/>
        <v>3.2024784141190629E-5</v>
      </c>
      <c r="M63" s="17">
        <f t="shared" si="5"/>
        <v>3.7047979885714284</v>
      </c>
      <c r="N63" s="17">
        <f t="shared" si="6"/>
        <v>103.73434367999999</v>
      </c>
      <c r="O63" s="17">
        <f>(O55+O57)*0.6%</f>
        <v>0.12458728594285713</v>
      </c>
      <c r="P63" s="38">
        <f t="shared" si="7"/>
        <v>2.9971381530240403E-5</v>
      </c>
      <c r="Q63" s="17">
        <f t="shared" si="8"/>
        <v>1.9933965750857141</v>
      </c>
      <c r="R63" s="17">
        <f t="shared" si="0"/>
        <v>55.815104102399992</v>
      </c>
      <c r="S63" s="17">
        <f>(S55+S57)*0.6%</f>
        <v>0.30283337142857142</v>
      </c>
      <c r="T63" s="38">
        <f t="shared" si="9"/>
        <v>3.4469259989458881E-5</v>
      </c>
      <c r="U63" s="17">
        <f t="shared" si="10"/>
        <v>5.753834057142857</v>
      </c>
      <c r="V63" s="17">
        <f t="shared" si="11"/>
        <v>161.10735360000001</v>
      </c>
      <c r="W63" s="17">
        <f>(W55+W57)*0.6%</f>
        <v>0.34307474285714284</v>
      </c>
      <c r="X63" s="38">
        <f t="shared" si="12"/>
        <v>3.4833082398181624E-5</v>
      </c>
      <c r="Y63" s="17">
        <f t="shared" si="13"/>
        <v>1.7153737142857142</v>
      </c>
      <c r="Z63" s="17">
        <f t="shared" si="14"/>
        <v>48.030463999999995</v>
      </c>
      <c r="AA63" s="17">
        <f t="shared" si="15"/>
        <v>23.633241804800001</v>
      </c>
      <c r="AB63" s="17">
        <f t="shared" si="16"/>
        <v>661.73077053439999</v>
      </c>
      <c r="AC63" s="38">
        <f t="shared" si="17"/>
        <v>3.0258374429871749E-5</v>
      </c>
    </row>
    <row r="64" spans="1:30" x14ac:dyDescent="0.25">
      <c r="A64" s="200"/>
      <c r="B64" s="142"/>
      <c r="C64" s="25" t="s">
        <v>155</v>
      </c>
      <c r="D64" s="16" t="s">
        <v>14</v>
      </c>
      <c r="E64" s="181" t="s">
        <v>162</v>
      </c>
      <c r="F64" s="182"/>
      <c r="G64" s="17">
        <f>(G55+G57)*2.5%</f>
        <v>0.36339720380952384</v>
      </c>
      <c r="H64" s="38">
        <f t="shared" si="1"/>
        <v>1.139531734054564E-4</v>
      </c>
      <c r="I64" s="17">
        <f t="shared" si="2"/>
        <v>43.60766445714286</v>
      </c>
      <c r="J64" s="17">
        <f t="shared" si="3"/>
        <v>1221.0146048000001</v>
      </c>
      <c r="K64" s="17">
        <f>(K55+K57)*2.5%</f>
        <v>0.70166628571428569</v>
      </c>
      <c r="L64" s="38">
        <f t="shared" si="4"/>
        <v>1.3343660058829431E-4</v>
      </c>
      <c r="M64" s="17">
        <f t="shared" si="5"/>
        <v>15.436658285714286</v>
      </c>
      <c r="N64" s="17">
        <f t="shared" si="6"/>
        <v>432.22643199999999</v>
      </c>
      <c r="O64" s="17">
        <f>(O55+O57)*2.5%</f>
        <v>0.51911369142857144</v>
      </c>
      <c r="P64" s="38">
        <f t="shared" si="7"/>
        <v>1.2488075637600169E-4</v>
      </c>
      <c r="Q64" s="17">
        <f t="shared" si="8"/>
        <v>8.3058190628571431</v>
      </c>
      <c r="R64" s="17">
        <f t="shared" si="0"/>
        <v>232.56293376000002</v>
      </c>
      <c r="S64" s="17">
        <f>(S55+S57)*2.5%</f>
        <v>1.2618057142857142</v>
      </c>
      <c r="T64" s="38">
        <f t="shared" si="9"/>
        <v>1.4362191662274534E-4</v>
      </c>
      <c r="U64" s="17">
        <f t="shared" si="10"/>
        <v>23.974308571428569</v>
      </c>
      <c r="V64" s="17">
        <f t="shared" si="11"/>
        <v>671.28063999999995</v>
      </c>
      <c r="W64" s="17">
        <f>(W55+W57)*2.5%</f>
        <v>1.4294780952380952</v>
      </c>
      <c r="X64" s="38">
        <f t="shared" si="12"/>
        <v>1.4513784332575676E-4</v>
      </c>
      <c r="Y64" s="17">
        <f t="shared" si="13"/>
        <v>7.1473904761904761</v>
      </c>
      <c r="Z64" s="17">
        <f t="shared" si="14"/>
        <v>200.12693333333334</v>
      </c>
      <c r="AA64" s="17">
        <f t="shared" si="15"/>
        <v>98.471840853333333</v>
      </c>
      <c r="AB64" s="17">
        <f t="shared" si="16"/>
        <v>2757.2115438933333</v>
      </c>
      <c r="AC64" s="38">
        <f t="shared" si="17"/>
        <v>1.2607656012446564E-4</v>
      </c>
    </row>
    <row r="65" spans="1:34" x14ac:dyDescent="0.25">
      <c r="A65" s="200"/>
      <c r="B65" s="142"/>
      <c r="C65" s="25" t="s">
        <v>156</v>
      </c>
      <c r="D65" s="16" t="s">
        <v>16</v>
      </c>
      <c r="E65" s="170" t="s">
        <v>228</v>
      </c>
      <c r="F65" s="153"/>
      <c r="G65" s="17">
        <f>(G55+G57)*2.029%</f>
        <v>0.29493317061180951</v>
      </c>
      <c r="H65" s="38">
        <f t="shared" si="1"/>
        <v>9.2484395535868399E-5</v>
      </c>
      <c r="I65" s="17">
        <f>G65*$G$4</f>
        <v>35.391980473417142</v>
      </c>
      <c r="J65" s="17">
        <f t="shared" si="3"/>
        <v>990.97545325568001</v>
      </c>
      <c r="K65" s="17">
        <f>(K55+K57)*2.029%</f>
        <v>0.56947235748571423</v>
      </c>
      <c r="L65" s="38">
        <f t="shared" si="4"/>
        <v>1.0829714503745965E-4</v>
      </c>
      <c r="M65" s="17">
        <f t="shared" si="5"/>
        <v>12.528391864685712</v>
      </c>
      <c r="N65" s="17">
        <f t="shared" si="6"/>
        <v>350.79497221119993</v>
      </c>
      <c r="O65" s="17">
        <f>(O55+O57)*2.029%</f>
        <v>0.42131267196342853</v>
      </c>
      <c r="P65" s="38">
        <f t="shared" si="7"/>
        <v>1.0135322187476296E-4</v>
      </c>
      <c r="Q65" s="17">
        <f t="shared" si="8"/>
        <v>6.7410027514148565</v>
      </c>
      <c r="R65" s="17">
        <f t="shared" si="0"/>
        <v>188.74807703961599</v>
      </c>
      <c r="S65" s="17">
        <f>(S55+S57)*2.029%</f>
        <v>1.0240815177142855</v>
      </c>
      <c r="T65" s="38">
        <f t="shared" si="9"/>
        <v>1.165635475310201E-4</v>
      </c>
      <c r="U65" s="17">
        <f t="shared" si="10"/>
        <v>19.457548836571423</v>
      </c>
      <c r="V65" s="17">
        <f t="shared" si="11"/>
        <v>544.81136742399985</v>
      </c>
      <c r="W65" s="17">
        <f>(W55+W57)*2.029%</f>
        <v>1.1601644220952381</v>
      </c>
      <c r="X65" s="38">
        <f t="shared" si="12"/>
        <v>1.1779387364318418E-4</v>
      </c>
      <c r="Y65" s="17">
        <f t="shared" si="13"/>
        <v>5.8008221104761901</v>
      </c>
      <c r="Z65" s="17">
        <f t="shared" si="14"/>
        <v>162.42301909333332</v>
      </c>
      <c r="AA65" s="17">
        <f t="shared" si="15"/>
        <v>79.919746036565314</v>
      </c>
      <c r="AB65" s="17">
        <f t="shared" si="16"/>
        <v>2237.7528890238286</v>
      </c>
      <c r="AC65" s="38">
        <f t="shared" si="17"/>
        <v>1.0232373619701627E-4</v>
      </c>
    </row>
    <row r="66" spans="1:34" x14ac:dyDescent="0.25">
      <c r="A66" s="200"/>
      <c r="B66" s="142"/>
      <c r="C66" s="25" t="s">
        <v>157</v>
      </c>
      <c r="D66" s="16" t="s">
        <v>43</v>
      </c>
      <c r="E66" s="179" t="s">
        <v>181</v>
      </c>
      <c r="F66" s="180"/>
      <c r="G66" s="17">
        <f>((G7+G23+G33+G46+G58)*40%)*85.43%</f>
        <v>42.483459239440847</v>
      </c>
      <c r="H66" s="38">
        <f t="shared" si="1"/>
        <v>1.3321855388059446E-2</v>
      </c>
      <c r="I66" s="17">
        <f t="shared" si="2"/>
        <v>5098.0151087329014</v>
      </c>
      <c r="J66" s="17">
        <f t="shared" si="3"/>
        <v>142744.42304452125</v>
      </c>
      <c r="K66" s="17">
        <f>((K7+K23+K33+K46+K58)*40%)*85.43%</f>
        <v>82.029280182511627</v>
      </c>
      <c r="L66" s="38">
        <f t="shared" si="4"/>
        <v>1.5599592739611997E-2</v>
      </c>
      <c r="M66" s="17">
        <f t="shared" si="5"/>
        <v>1804.6441640152557</v>
      </c>
      <c r="N66" s="17">
        <f t="shared" si="6"/>
        <v>50530.036592427161</v>
      </c>
      <c r="O66" s="17">
        <f>((O7+O23+O33+O46+O58)*40%)*85.43%</f>
        <v>60.891465949079787</v>
      </c>
      <c r="P66" s="38">
        <f t="shared" si="7"/>
        <v>1.4648375587317653E-2</v>
      </c>
      <c r="Q66" s="17">
        <f t="shared" si="8"/>
        <v>974.2634551852766</v>
      </c>
      <c r="R66" s="17">
        <f t="shared" si="0"/>
        <v>27279.376745187743</v>
      </c>
      <c r="S66" s="17">
        <f>((S7+S23+S33+S46+S58)*40%)*85.43%</f>
        <v>147.51316484825909</v>
      </c>
      <c r="T66" s="38">
        <f t="shared" si="9"/>
        <v>1.6790321380488474E-2</v>
      </c>
      <c r="U66" s="17">
        <f t="shared" si="10"/>
        <v>2802.7501321169229</v>
      </c>
      <c r="V66" s="17">
        <f t="shared" si="11"/>
        <v>78477.003699273846</v>
      </c>
      <c r="W66" s="17">
        <f>((W7+W23+W33+W46+W58)*40%)*85.43%</f>
        <v>167.11513945647366</v>
      </c>
      <c r="X66" s="38">
        <f t="shared" si="12"/>
        <v>1.6967542915553229E-2</v>
      </c>
      <c r="Y66" s="17">
        <f t="shared" si="13"/>
        <v>835.57569728236831</v>
      </c>
      <c r="Z66" s="17">
        <f t="shared" si="14"/>
        <v>23396.119523906313</v>
      </c>
      <c r="AA66" s="17">
        <f t="shared" si="15"/>
        <v>11515.248557332725</v>
      </c>
      <c r="AB66" s="17">
        <f t="shared" si="16"/>
        <v>322426.95960531628</v>
      </c>
      <c r="AC66" s="38">
        <f t="shared" si="17"/>
        <v>1.4743330829460987E-2</v>
      </c>
    </row>
    <row r="67" spans="1:34" x14ac:dyDescent="0.25">
      <c r="A67" s="201"/>
      <c r="B67" s="143"/>
      <c r="C67" s="18" t="s">
        <v>158</v>
      </c>
      <c r="D67" s="19" t="s">
        <v>7</v>
      </c>
      <c r="E67" s="158" t="s">
        <v>159</v>
      </c>
      <c r="F67" s="159"/>
      <c r="G67" s="20">
        <f>SUM(G55:G66)</f>
        <v>67.301656789684401</v>
      </c>
      <c r="H67" s="39">
        <f t="shared" si="1"/>
        <v>2.1104282823951725E-2</v>
      </c>
      <c r="I67" s="20">
        <f t="shared" si="2"/>
        <v>8076.1988147621278</v>
      </c>
      <c r="J67" s="20">
        <f t="shared" si="3"/>
        <v>226133.56681333957</v>
      </c>
      <c r="K67" s="20">
        <f>SUM(K55:K66)</f>
        <v>129.94955119904495</v>
      </c>
      <c r="L67" s="39">
        <f t="shared" si="4"/>
        <v>2.4712640058404938E-2</v>
      </c>
      <c r="M67" s="20">
        <f t="shared" si="5"/>
        <v>2858.890126378989</v>
      </c>
      <c r="N67" s="20">
        <f t="shared" si="6"/>
        <v>80048.923538611692</v>
      </c>
      <c r="O67" s="20">
        <f>SUM(O55:O66)</f>
        <v>96.344314814871794</v>
      </c>
      <c r="P67" s="39">
        <f t="shared" si="7"/>
        <v>2.3177101866642486E-2</v>
      </c>
      <c r="Q67" s="20">
        <f t="shared" si="8"/>
        <v>1541.5090370379487</v>
      </c>
      <c r="R67" s="20">
        <f t="shared" si="0"/>
        <v>43162.253037062561</v>
      </c>
      <c r="S67" s="20">
        <f>SUM(S55:S66)</f>
        <v>233.6881358135924</v>
      </c>
      <c r="T67" s="39">
        <f t="shared" si="9"/>
        <v>2.6598974451897951E-2</v>
      </c>
      <c r="U67" s="20">
        <f t="shared" si="10"/>
        <v>4440.0745804582557</v>
      </c>
      <c r="V67" s="20">
        <f t="shared" si="11"/>
        <v>124322.08825283116</v>
      </c>
      <c r="W67" s="20">
        <f>SUM(W55:W66)</f>
        <v>264.7412889960292</v>
      </c>
      <c r="X67" s="39">
        <f t="shared" si="12"/>
        <v>2.6879726140724557E-2</v>
      </c>
      <c r="Y67" s="20">
        <f t="shared" si="13"/>
        <v>1323.706444980146</v>
      </c>
      <c r="Z67" s="20">
        <f t="shared" si="14"/>
        <v>37063.78045944409</v>
      </c>
      <c r="AA67" s="20">
        <f t="shared" si="15"/>
        <v>18240.379003617469</v>
      </c>
      <c r="AB67" s="20">
        <f t="shared" si="16"/>
        <v>510730.61210128909</v>
      </c>
      <c r="AC67" s="39">
        <f t="shared" si="17"/>
        <v>2.3353724478125996E-2</v>
      </c>
    </row>
    <row r="68" spans="1:34" s="97" customFormat="1" ht="15" customHeight="1" x14ac:dyDescent="0.25">
      <c r="A68" s="144" t="s">
        <v>83</v>
      </c>
      <c r="B68" s="141" t="s">
        <v>53</v>
      </c>
      <c r="C68" s="25" t="s">
        <v>167</v>
      </c>
      <c r="D68" s="16" t="s">
        <v>53</v>
      </c>
      <c r="E68" s="152">
        <f>Uniforme.!D18</f>
        <v>42.099999999999994</v>
      </c>
      <c r="F68" s="153"/>
      <c r="G68" s="103">
        <f>E68*6/28</f>
        <v>9.0214285714285705</v>
      </c>
      <c r="H68" s="38">
        <f t="shared" si="1"/>
        <v>2.8289166883732541E-3</v>
      </c>
      <c r="I68" s="17">
        <f>G68*$G$4</f>
        <v>1082.5714285714284</v>
      </c>
      <c r="J68" s="17">
        <f t="shared" si="3"/>
        <v>30311.999999999996</v>
      </c>
      <c r="K68" s="103">
        <f>E68*6/28</f>
        <v>9.0214285714285705</v>
      </c>
      <c r="L68" s="38">
        <f t="shared" si="4"/>
        <v>1.7156143675851573E-3</v>
      </c>
      <c r="M68" s="17">
        <f t="shared" si="5"/>
        <v>198.47142857142856</v>
      </c>
      <c r="N68" s="17">
        <f t="shared" si="6"/>
        <v>5557.2</v>
      </c>
      <c r="O68" s="103">
        <f>E68*6/28</f>
        <v>9.0214285714285705</v>
      </c>
      <c r="P68" s="38">
        <f t="shared" si="7"/>
        <v>2.1702429394449703E-3</v>
      </c>
      <c r="Q68" s="17">
        <f t="shared" si="8"/>
        <v>144.34285714285713</v>
      </c>
      <c r="R68" s="17">
        <f t="shared" si="0"/>
        <v>4041.5999999999995</v>
      </c>
      <c r="S68" s="103">
        <f>E68*10/28</f>
        <v>15.035714285714283</v>
      </c>
      <c r="T68" s="38">
        <f t="shared" si="9"/>
        <v>1.7114030147887772E-3</v>
      </c>
      <c r="U68" s="17">
        <f t="shared" si="10"/>
        <v>285.67857142857139</v>
      </c>
      <c r="V68" s="17">
        <f t="shared" si="11"/>
        <v>7998.9999999999991</v>
      </c>
      <c r="W68" s="103">
        <f>E68*10/28</f>
        <v>15.035714285714283</v>
      </c>
      <c r="X68" s="38">
        <f t="shared" si="12"/>
        <v>1.526606914481865E-3</v>
      </c>
      <c r="Y68" s="17">
        <f t="shared" si="13"/>
        <v>75.178571428571416</v>
      </c>
      <c r="Z68" s="17">
        <f t="shared" si="14"/>
        <v>2104.9999999999995</v>
      </c>
      <c r="AA68" s="17">
        <f t="shared" si="15"/>
        <v>1786.2428571428568</v>
      </c>
      <c r="AB68" s="17">
        <f t="shared" si="16"/>
        <v>50014.799999999988</v>
      </c>
      <c r="AC68" s="38">
        <f t="shared" si="17"/>
        <v>2.286982278628189E-3</v>
      </c>
      <c r="AH68" s="98"/>
    </row>
    <row r="69" spans="1:34" x14ac:dyDescent="0.25">
      <c r="A69" s="144"/>
      <c r="B69" s="143"/>
      <c r="C69" s="18" t="s">
        <v>168</v>
      </c>
      <c r="D69" s="19" t="s">
        <v>7</v>
      </c>
      <c r="E69" s="158" t="s">
        <v>167</v>
      </c>
      <c r="F69" s="159"/>
      <c r="G69" s="20">
        <f>SUM(G68)</f>
        <v>9.0214285714285705</v>
      </c>
      <c r="H69" s="39">
        <f t="shared" si="1"/>
        <v>2.8289166883732541E-3</v>
      </c>
      <c r="I69" s="20">
        <f>G69*$G$4</f>
        <v>1082.5714285714284</v>
      </c>
      <c r="J69" s="20">
        <f t="shared" si="3"/>
        <v>30311.999999999996</v>
      </c>
      <c r="K69" s="20">
        <f>SUM(K68)</f>
        <v>9.0214285714285705</v>
      </c>
      <c r="L69" s="39">
        <f t="shared" si="4"/>
        <v>1.7156143675851573E-3</v>
      </c>
      <c r="M69" s="20">
        <f t="shared" si="5"/>
        <v>198.47142857142856</v>
      </c>
      <c r="N69" s="20">
        <f t="shared" si="6"/>
        <v>5557.2</v>
      </c>
      <c r="O69" s="20">
        <f>SUM(O68)</f>
        <v>9.0214285714285705</v>
      </c>
      <c r="P69" s="39">
        <f t="shared" si="7"/>
        <v>2.1702429394449703E-3</v>
      </c>
      <c r="Q69" s="20">
        <f t="shared" si="8"/>
        <v>144.34285714285713</v>
      </c>
      <c r="R69" s="20">
        <f t="shared" si="0"/>
        <v>4041.5999999999995</v>
      </c>
      <c r="S69" s="20">
        <f>SUM(S68)</f>
        <v>15.035714285714283</v>
      </c>
      <c r="T69" s="39">
        <f t="shared" si="9"/>
        <v>1.7114030147887772E-3</v>
      </c>
      <c r="U69" s="20">
        <f t="shared" si="10"/>
        <v>285.67857142857139</v>
      </c>
      <c r="V69" s="20">
        <f t="shared" si="11"/>
        <v>7998.9999999999991</v>
      </c>
      <c r="W69" s="20">
        <f>SUM(W68)</f>
        <v>15.035714285714283</v>
      </c>
      <c r="X69" s="39">
        <f t="shared" si="12"/>
        <v>1.526606914481865E-3</v>
      </c>
      <c r="Y69" s="20">
        <f t="shared" si="13"/>
        <v>75.178571428571416</v>
      </c>
      <c r="Z69" s="20">
        <f t="shared" si="14"/>
        <v>2104.9999999999995</v>
      </c>
      <c r="AA69" s="20">
        <f t="shared" si="15"/>
        <v>1786.2428571428568</v>
      </c>
      <c r="AB69" s="20">
        <f t="shared" si="16"/>
        <v>50014.799999999988</v>
      </c>
      <c r="AC69" s="39">
        <f t="shared" si="17"/>
        <v>2.286982278628189E-3</v>
      </c>
    </row>
    <row r="70" spans="1:34" x14ac:dyDescent="0.25">
      <c r="A70" s="145" t="s">
        <v>87</v>
      </c>
      <c r="B70" s="167"/>
      <c r="C70" s="167"/>
      <c r="D70" s="167"/>
      <c r="E70" s="167"/>
      <c r="F70" s="146"/>
      <c r="G70" s="20">
        <f>SUM(G69,G67,G54,G41,G31,G21,G15)</f>
        <v>2972.9950724476289</v>
      </c>
      <c r="H70" s="39">
        <f t="shared" si="1"/>
        <v>0.93226425374964139</v>
      </c>
      <c r="I70" s="20">
        <f t="shared" ref="I70:Z70" si="20">SUM(I69,I67,I54,I41,I31,I21,I15)</f>
        <v>356759.40869371546</v>
      </c>
      <c r="J70" s="20">
        <f t="shared" si="20"/>
        <v>9989263.4434240349</v>
      </c>
      <c r="K70" s="20">
        <f>SUM(K69,K67,K54,K41,K31,K21,K15)</f>
        <v>4910.9068265259393</v>
      </c>
      <c r="L70" s="39">
        <f t="shared" si="4"/>
        <v>0.93391221165826643</v>
      </c>
      <c r="M70" s="20">
        <f t="shared" si="20"/>
        <v>108039.95018357068</v>
      </c>
      <c r="N70" s="20">
        <f t="shared" si="20"/>
        <v>3025118.6051399787</v>
      </c>
      <c r="O70" s="20">
        <f>SUM(O69,O67,O54,O41,O31,O21,O15)</f>
        <v>3878.3435873874178</v>
      </c>
      <c r="P70" s="39">
        <f t="shared" si="7"/>
        <v>0.93299500413118852</v>
      </c>
      <c r="Q70" s="20">
        <f t="shared" si="20"/>
        <v>62053.497398198684</v>
      </c>
      <c r="R70" s="20">
        <f t="shared" si="20"/>
        <v>1737497.9271495631</v>
      </c>
      <c r="S70" s="20">
        <f>SUM(S69,S67,S54,S41,S31,S21,S15)</f>
        <v>8213.5672454447358</v>
      </c>
      <c r="T70" s="39">
        <f t="shared" si="9"/>
        <v>0.93488899023440697</v>
      </c>
      <c r="U70" s="20">
        <f t="shared" si="20"/>
        <v>156057.77766344996</v>
      </c>
      <c r="V70" s="20">
        <f t="shared" si="20"/>
        <v>4369617.7745765988</v>
      </c>
      <c r="W70" s="20">
        <f>SUM(W69,W67,W54,W41,W31,W21,W15)</f>
        <v>9209.4499026660724</v>
      </c>
      <c r="X70" s="39">
        <f>W70/$W$80</f>
        <v>0.93505434014147815</v>
      </c>
      <c r="Y70" s="20">
        <f>SUM(Y69,Y67,Y54,Y41,Y31,Y21,Y15)</f>
        <v>46047.249513330367</v>
      </c>
      <c r="Z70" s="20">
        <f t="shared" si="20"/>
        <v>1289322.9863732504</v>
      </c>
      <c r="AA70" s="20">
        <f t="shared" si="15"/>
        <v>728957.88345226517</v>
      </c>
      <c r="AB70" s="20">
        <f t="shared" si="16"/>
        <v>20410820.736663423</v>
      </c>
      <c r="AC70" s="39">
        <f t="shared" si="17"/>
        <v>0.93330744733570892</v>
      </c>
    </row>
    <row r="71" spans="1:34" s="83" customFormat="1" ht="35.25" customHeight="1" x14ac:dyDescent="0.25">
      <c r="A71" s="196" t="s">
        <v>84</v>
      </c>
      <c r="B71" s="144" t="s">
        <v>70</v>
      </c>
      <c r="C71" s="75" t="s">
        <v>169</v>
      </c>
      <c r="D71" s="76" t="s">
        <v>56</v>
      </c>
      <c r="E71" s="136" t="s">
        <v>233</v>
      </c>
      <c r="F71" s="137"/>
      <c r="G71" s="77">
        <f>G70*0.38%</f>
        <v>11.297381275300991</v>
      </c>
      <c r="H71" s="78">
        <f>G71/$G$80</f>
        <v>3.5426041642486372E-3</v>
      </c>
      <c r="I71" s="77">
        <f>I70*0.38%</f>
        <v>1355.6857530361187</v>
      </c>
      <c r="J71" s="77">
        <f>J70*0.38%</f>
        <v>37959.201085011329</v>
      </c>
      <c r="K71" s="79">
        <f>K70*0.2954%</f>
        <v>14.506818765557625</v>
      </c>
      <c r="L71" s="80">
        <f t="shared" ref="L71:L80" si="21">K71/$K$80</f>
        <v>2.7587766732385193E-3</v>
      </c>
      <c r="M71" s="79">
        <f>M70*0.2954%</f>
        <v>319.15001284226776</v>
      </c>
      <c r="N71" s="79">
        <f>N70*0.2954%</f>
        <v>8936.2003595834976</v>
      </c>
      <c r="O71" s="77">
        <f>O70*0.33396%</f>
        <v>12.95211624443902</v>
      </c>
      <c r="P71" s="78">
        <f t="shared" ref="P71:P80" si="22">O71/$O$80</f>
        <v>3.1158301157965173E-3</v>
      </c>
      <c r="Q71" s="77">
        <f>Q70*0.33396%</f>
        <v>207.23385991102433</v>
      </c>
      <c r="R71" s="77">
        <f>R70*0.33396%</f>
        <v>5802.5480775086808</v>
      </c>
      <c r="S71" s="77">
        <f>S70*0.240596%</f>
        <v>19.761514249850215</v>
      </c>
      <c r="T71" s="78">
        <f t="shared" ref="T71:T80" si="23">S71/$S$80</f>
        <v>2.2493055149443737E-3</v>
      </c>
      <c r="U71" s="77">
        <f>U70*0.240596%</f>
        <v>375.46877074715405</v>
      </c>
      <c r="V71" s="77">
        <f>V70*0.240596%</f>
        <v>10513.125580920314</v>
      </c>
      <c r="W71" s="77">
        <f>W70*0.205%</f>
        <v>18.879372300465445</v>
      </c>
      <c r="X71" s="78">
        <f>W71/$W$80</f>
        <v>1.9168613972900298E-3</v>
      </c>
      <c r="Y71" s="77">
        <f>Y70*0.205%</f>
        <v>94.396861502327241</v>
      </c>
      <c r="Z71" s="77">
        <f>Z70*0.205%</f>
        <v>2643.112122065163</v>
      </c>
      <c r="AA71" s="17">
        <f>I71+M71+Q71+U71+Y71</f>
        <v>2351.9352580388922</v>
      </c>
      <c r="AB71" s="81">
        <f t="shared" ref="AB71:AB80" si="24">AA71*28</f>
        <v>65854.187225088986</v>
      </c>
      <c r="AC71" s="82">
        <f t="shared" ref="AC71:AC80" si="25">AB71/$AB$80</f>
        <v>3.0112558514128101E-3</v>
      </c>
      <c r="AH71" s="84"/>
    </row>
    <row r="72" spans="1:34" x14ac:dyDescent="0.25">
      <c r="A72" s="197"/>
      <c r="B72" s="144"/>
      <c r="C72" s="29" t="s">
        <v>170</v>
      </c>
      <c r="D72" s="30" t="s">
        <v>7</v>
      </c>
      <c r="E72" s="145" t="s">
        <v>169</v>
      </c>
      <c r="F72" s="146"/>
      <c r="G72" s="58">
        <f>G70*0.38%</f>
        <v>11.297381275300991</v>
      </c>
      <c r="H72" s="59">
        <f t="shared" ref="H72:H80" si="26">G72/$G$80</f>
        <v>3.5426041642486372E-3</v>
      </c>
      <c r="I72" s="58">
        <f>I70*0.38%</f>
        <v>1355.6857530361187</v>
      </c>
      <c r="J72" s="58">
        <f>J70*0.38%</f>
        <v>37959.201085011329</v>
      </c>
      <c r="K72" s="65">
        <f>K70*0.2954%</f>
        <v>14.506818765557625</v>
      </c>
      <c r="L72" s="66">
        <f t="shared" si="21"/>
        <v>2.7587766732385193E-3</v>
      </c>
      <c r="M72" s="65">
        <f>M70*0.2954%</f>
        <v>319.15001284226776</v>
      </c>
      <c r="N72" s="65">
        <f>N70*0.2954%</f>
        <v>8936.2003595834976</v>
      </c>
      <c r="O72" s="69">
        <f>O70*0.33396%</f>
        <v>12.95211624443902</v>
      </c>
      <c r="P72" s="70">
        <f t="shared" si="22"/>
        <v>3.1158301157965173E-3</v>
      </c>
      <c r="Q72" s="69">
        <f>Q70*0.33396%</f>
        <v>207.23385991102433</v>
      </c>
      <c r="R72" s="69">
        <f>R70*0.33396%</f>
        <v>5802.5480775086808</v>
      </c>
      <c r="S72" s="58">
        <f>S70*0.240596%</f>
        <v>19.761514249850215</v>
      </c>
      <c r="T72" s="59">
        <f t="shared" si="23"/>
        <v>2.2493055149443737E-3</v>
      </c>
      <c r="U72" s="58">
        <f>U70*0.240596%</f>
        <v>375.46877074715405</v>
      </c>
      <c r="V72" s="58">
        <f>V70*0.240596%</f>
        <v>10513.125580920314</v>
      </c>
      <c r="W72" s="85">
        <f>W70*0.22287%</f>
        <v>20.525100998071878</v>
      </c>
      <c r="X72" s="86">
        <f t="shared" ref="X72:X80" si="27">W72/$W$80</f>
        <v>2.0839556078733126E-3</v>
      </c>
      <c r="Y72" s="85">
        <f>Y70*0.22287%</f>
        <v>102.62550499035939</v>
      </c>
      <c r="Z72" s="85">
        <f>Z70*0.22287%</f>
        <v>2873.5141397300631</v>
      </c>
      <c r="AA72" s="20">
        <f t="shared" ref="AA72:AA80" si="28">I72+M72+Q72+U72+Y72</f>
        <v>2360.1639015269243</v>
      </c>
      <c r="AB72" s="31">
        <f t="shared" si="24"/>
        <v>66084.589242753878</v>
      </c>
      <c r="AC72" s="42">
        <f t="shared" si="25"/>
        <v>3.0217912395651128E-3</v>
      </c>
    </row>
    <row r="73" spans="1:34" x14ac:dyDescent="0.25">
      <c r="A73" s="197"/>
      <c r="B73" s="144"/>
      <c r="C73" s="26" t="s">
        <v>171</v>
      </c>
      <c r="D73" s="27" t="s">
        <v>62</v>
      </c>
      <c r="E73" s="171" t="s">
        <v>209</v>
      </c>
      <c r="F73" s="172"/>
      <c r="G73" s="60">
        <f>((G70+G72+G78)/(1-0.0608))*0.88%</f>
        <v>28.063241224054281</v>
      </c>
      <c r="H73" s="61">
        <f t="shared" si="26"/>
        <v>8.8000000000000005E-3</v>
      </c>
      <c r="I73" s="60">
        <f>((I70+I72+I78)/(1-0.0608))*0.88%</f>
        <v>3367.5889468865134</v>
      </c>
      <c r="J73" s="60">
        <f>((J70+J72+J78)/(1-0.0608))*0.88%</f>
        <v>94292.490512822391</v>
      </c>
      <c r="K73" s="67">
        <f>((K70+K72+K78)/(1-0.0608))*0.88%</f>
        <v>46.274135335154703</v>
      </c>
      <c r="L73" s="68">
        <f t="shared" si="21"/>
        <v>8.8000000000000005E-3</v>
      </c>
      <c r="M73" s="67">
        <f>((M70+M72+M78)/(1-0.0608))*0.88%</f>
        <v>1018.0309773734035</v>
      </c>
      <c r="N73" s="67">
        <f>((N70+N72+N78)/(1-0.0608))*0.88%</f>
        <v>28504.867366455299</v>
      </c>
      <c r="O73" s="71">
        <f>((O70+O72+O78)/(1-0.0608))*0.88%</f>
        <v>36.580499807489147</v>
      </c>
      <c r="P73" s="72">
        <f t="shared" si="22"/>
        <v>8.8000000000000005E-3</v>
      </c>
      <c r="Q73" s="71">
        <f>((Q70+Q72+Q78)/(1-0.0608))*0.88%</f>
        <v>585.28799691982636</v>
      </c>
      <c r="R73" s="71">
        <f>((R70+R72+R78)/(1-0.0608))*0.88%</f>
        <v>16388.063913755137</v>
      </c>
      <c r="S73" s="60">
        <f>((S70+S72+S78)/(1-0.0608))*0.88%</f>
        <v>77.313341492866314</v>
      </c>
      <c r="T73" s="61">
        <f t="shared" si="23"/>
        <v>8.7999999999999988E-3</v>
      </c>
      <c r="U73" s="60">
        <f>((U70+U72+U78)/(1-0.0608))*0.88%</f>
        <v>1468.9534883644601</v>
      </c>
      <c r="V73" s="60">
        <f>((V70+V72+V78)/(1-0.0608))*0.88%</f>
        <v>41130.697674204872</v>
      </c>
      <c r="W73" s="87">
        <f>((W70+W72+W78)/(1-0.0608))*0.88%</f>
        <v>86.672138360642464</v>
      </c>
      <c r="X73" s="88">
        <f t="shared" si="27"/>
        <v>8.8000000000000005E-3</v>
      </c>
      <c r="Y73" s="87">
        <f>((Y70+Y72+Y78)/(1-0.0608))*0.88%</f>
        <v>433.36069180321249</v>
      </c>
      <c r="Z73" s="87">
        <f>((Z70+Z72+Z78)/(1-0.0608))*0.88%</f>
        <v>12134.099370489948</v>
      </c>
      <c r="AA73" s="17">
        <f>I73+M73+Q73+U73+Y73</f>
        <v>6873.2221013474164</v>
      </c>
      <c r="AB73" s="28">
        <f t="shared" si="24"/>
        <v>192450.21883772765</v>
      </c>
      <c r="AC73" s="41">
        <f t="shared" si="25"/>
        <v>8.8000000000000005E-3</v>
      </c>
    </row>
    <row r="74" spans="1:34" x14ac:dyDescent="0.25">
      <c r="A74" s="197"/>
      <c r="B74" s="144"/>
      <c r="C74" s="26" t="s">
        <v>172</v>
      </c>
      <c r="D74" s="27" t="s">
        <v>64</v>
      </c>
      <c r="E74" s="171" t="s">
        <v>205</v>
      </c>
      <c r="F74" s="172"/>
      <c r="G74" s="60">
        <f>((G70+G72+G78)/(1-0.0608))*5%</f>
        <v>159.45023422758115</v>
      </c>
      <c r="H74" s="61">
        <f t="shared" si="26"/>
        <v>0.05</v>
      </c>
      <c r="I74" s="60">
        <f>((I70+I72+I78)/(1-0.0608))*5%</f>
        <v>19134.028107309736</v>
      </c>
      <c r="J74" s="60">
        <f>((J70+J72+J78)/(1-0.0608))*5%</f>
        <v>535752.78700467269</v>
      </c>
      <c r="K74" s="67">
        <f>((K70+K72+K78)/(1-0.0608))*5%</f>
        <v>262.92122349519718</v>
      </c>
      <c r="L74" s="68">
        <f t="shared" si="21"/>
        <v>0.05</v>
      </c>
      <c r="M74" s="67">
        <f>((M70+M72+M78)/(1-0.0608))*5%</f>
        <v>5784.2669168943385</v>
      </c>
      <c r="N74" s="67">
        <f>((N70+N72+N78)/(1-0.0608))*5%</f>
        <v>161959.47367304147</v>
      </c>
      <c r="O74" s="71">
        <f>((O70+O72+O78)/(1-0.0608))*5%</f>
        <v>207.84374890618835</v>
      </c>
      <c r="P74" s="72">
        <f t="shared" si="22"/>
        <v>0.05</v>
      </c>
      <c r="Q74" s="71">
        <f>((Q70+Q72+Q78)/(1-0.0608))*5%</f>
        <v>3325.4999824990136</v>
      </c>
      <c r="R74" s="71">
        <f>((R70+R72+R78)/(1-0.0608))*5%</f>
        <v>93113.999509972375</v>
      </c>
      <c r="S74" s="60">
        <f>((S70+S72+S78)/(1-0.0608))*5%</f>
        <v>439.28034939128588</v>
      </c>
      <c r="T74" s="61">
        <f t="shared" si="23"/>
        <v>4.9999999999999996E-2</v>
      </c>
      <c r="U74" s="60">
        <f>((U70+U72+U78)/(1-0.0608))*5%</f>
        <v>8346.3266384344315</v>
      </c>
      <c r="V74" s="60">
        <f>((V70+V72+V78)/(1-0.0608))*5%</f>
        <v>233697.14587616405</v>
      </c>
      <c r="W74" s="87">
        <f>((W70+W72+W78)/(1-0.0608))*5%</f>
        <v>492.45533159455948</v>
      </c>
      <c r="X74" s="88">
        <f t="shared" si="27"/>
        <v>0.05</v>
      </c>
      <c r="Y74" s="87">
        <f>((Y70+Y72+Y78)/(1-0.0608))*5%</f>
        <v>2462.2766579727981</v>
      </c>
      <c r="Z74" s="87">
        <f>((Z70+Z72+Z78)/(1-0.0608))*5%</f>
        <v>68943.74642323835</v>
      </c>
      <c r="AA74" s="17">
        <f>I74+M74+Q74+U74+Y74</f>
        <v>39052.39830311032</v>
      </c>
      <c r="AB74" s="28">
        <f t="shared" si="24"/>
        <v>1093467.1524870889</v>
      </c>
      <c r="AC74" s="41">
        <f t="shared" si="25"/>
        <v>5.000000000000001E-2</v>
      </c>
    </row>
    <row r="75" spans="1:34" x14ac:dyDescent="0.25">
      <c r="A75" s="197"/>
      <c r="B75" s="144"/>
      <c r="C75" s="26" t="s">
        <v>173</v>
      </c>
      <c r="D75" s="27" t="s">
        <v>63</v>
      </c>
      <c r="E75" s="162" t="s">
        <v>210</v>
      </c>
      <c r="F75" s="163"/>
      <c r="G75" s="60">
        <f>((G70+G72+G78)/(1-0.0608))*0.2%</f>
        <v>6.3780093691032453</v>
      </c>
      <c r="H75" s="61">
        <f t="shared" si="26"/>
        <v>2E-3</v>
      </c>
      <c r="I75" s="60">
        <f>((I70+I72+I78)/(1-0.0608))*0.2%</f>
        <v>765.36112429238938</v>
      </c>
      <c r="J75" s="60">
        <f>((J70+J72+J78)/(1-0.0608))*0.2%</f>
        <v>21430.111480186904</v>
      </c>
      <c r="K75" s="67">
        <f>((K70+K72+K78)/(1-0.0608))*0.2%</f>
        <v>10.516848939807888</v>
      </c>
      <c r="L75" s="68">
        <f t="shared" si="21"/>
        <v>2E-3</v>
      </c>
      <c r="M75" s="67">
        <f>((M70+M72+M78)/(1-0.0608))*0.2%</f>
        <v>231.37067667577352</v>
      </c>
      <c r="N75" s="67">
        <f>((N70+N72+N78)/(1-0.0608))*0.2%</f>
        <v>6478.378946921659</v>
      </c>
      <c r="O75" s="71">
        <f>((O70+O72+O78)/(1-0.0608))*0.2%</f>
        <v>8.3137499562475341</v>
      </c>
      <c r="P75" s="72">
        <f t="shared" si="22"/>
        <v>2E-3</v>
      </c>
      <c r="Q75" s="71">
        <f>((Q70+Q72+Q78)/(1-0.0608))*0.2%</f>
        <v>133.01999929996055</v>
      </c>
      <c r="R75" s="71">
        <f>((R70+R72+R78)/(1-0.0608))*0.2%</f>
        <v>3724.5599803988948</v>
      </c>
      <c r="S75" s="60">
        <f>((S70+S72+S78)/(1-0.0608))*0.2%</f>
        <v>17.571213975651435</v>
      </c>
      <c r="T75" s="61">
        <f t="shared" si="23"/>
        <v>1.9999999999999996E-3</v>
      </c>
      <c r="U75" s="60">
        <f>((U70+U72+U78)/(1-0.0608))*0.2%</f>
        <v>333.85306553737729</v>
      </c>
      <c r="V75" s="60">
        <f>((V70+V72+V78)/(1-0.0608))*0.2%</f>
        <v>9347.8858350465616</v>
      </c>
      <c r="W75" s="87">
        <f>((W70+W72+W78)/(1-0.0608))*0.2%</f>
        <v>19.698213263782378</v>
      </c>
      <c r="X75" s="88">
        <f t="shared" si="27"/>
        <v>2E-3</v>
      </c>
      <c r="Y75" s="87">
        <f>((Y70+Y72+Y78)/(1-0.0608))*0.2%</f>
        <v>98.491066318911919</v>
      </c>
      <c r="Z75" s="87">
        <f>((Z70+Z72+Z78)/(1-0.0608))*0.2%</f>
        <v>2757.7498569295335</v>
      </c>
      <c r="AA75" s="17">
        <f>I75+M75+Q75+U75+Y75</f>
        <v>1562.0959321244127</v>
      </c>
      <c r="AB75" s="28">
        <f t="shared" si="24"/>
        <v>43738.686099483559</v>
      </c>
      <c r="AC75" s="41">
        <f t="shared" si="25"/>
        <v>2.0000000000000005E-3</v>
      </c>
    </row>
    <row r="76" spans="1:34" x14ac:dyDescent="0.25">
      <c r="A76" s="197"/>
      <c r="B76" s="144"/>
      <c r="C76" s="29" t="s">
        <v>174</v>
      </c>
      <c r="D76" s="30" t="s">
        <v>7</v>
      </c>
      <c r="E76" s="145" t="s">
        <v>177</v>
      </c>
      <c r="F76" s="146"/>
      <c r="G76" s="58">
        <f t="shared" ref="G76:Z76" si="29">SUM(G73:G75)</f>
        <v>193.89148482073867</v>
      </c>
      <c r="H76" s="59">
        <f t="shared" si="26"/>
        <v>6.0800000000000007E-2</v>
      </c>
      <c r="I76" s="58">
        <f t="shared" si="29"/>
        <v>23266.97817848864</v>
      </c>
      <c r="J76" s="58">
        <f t="shared" si="29"/>
        <v>651475.38899768202</v>
      </c>
      <c r="K76" s="65">
        <f t="shared" si="29"/>
        <v>319.71220777015981</v>
      </c>
      <c r="L76" s="66">
        <f t="shared" si="21"/>
        <v>6.0800000000000007E-2</v>
      </c>
      <c r="M76" s="65">
        <f t="shared" si="29"/>
        <v>7033.6685709435151</v>
      </c>
      <c r="N76" s="65">
        <f t="shared" si="29"/>
        <v>196942.71998641844</v>
      </c>
      <c r="O76" s="69">
        <f t="shared" si="29"/>
        <v>252.73799866992505</v>
      </c>
      <c r="P76" s="70">
        <f t="shared" si="22"/>
        <v>6.0800000000000007E-2</v>
      </c>
      <c r="Q76" s="69">
        <f t="shared" si="29"/>
        <v>4043.8079787188008</v>
      </c>
      <c r="R76" s="69">
        <f t="shared" si="29"/>
        <v>113226.6234041264</v>
      </c>
      <c r="S76" s="58">
        <f t="shared" si="29"/>
        <v>534.16490485980364</v>
      </c>
      <c r="T76" s="59">
        <f t="shared" si="23"/>
        <v>6.0799999999999993E-2</v>
      </c>
      <c r="U76" s="58">
        <f t="shared" si="29"/>
        <v>10149.133192336269</v>
      </c>
      <c r="V76" s="58">
        <f t="shared" si="29"/>
        <v>284175.7293854155</v>
      </c>
      <c r="W76" s="85">
        <f>SUM(W73:W75)</f>
        <v>598.8256832189843</v>
      </c>
      <c r="X76" s="86">
        <f t="shared" si="27"/>
        <v>6.08E-2</v>
      </c>
      <c r="Y76" s="85">
        <f>SUM(Y73:Y75)</f>
        <v>2994.1284160949226</v>
      </c>
      <c r="Z76" s="85">
        <f t="shared" si="29"/>
        <v>83835.595650657822</v>
      </c>
      <c r="AA76" s="20">
        <f>I76+M76+Q76+U76+Y76</f>
        <v>47487.716336582147</v>
      </c>
      <c r="AB76" s="31">
        <f t="shared" si="24"/>
        <v>1329656.0574243001</v>
      </c>
      <c r="AC76" s="42">
        <f t="shared" si="25"/>
        <v>6.0800000000000007E-2</v>
      </c>
    </row>
    <row r="77" spans="1:34" s="115" customFormat="1" x14ac:dyDescent="0.25">
      <c r="A77" s="197"/>
      <c r="B77" s="144"/>
      <c r="C77" s="109" t="s">
        <v>175</v>
      </c>
      <c r="D77" s="110" t="s">
        <v>68</v>
      </c>
      <c r="E77" s="173" t="s">
        <v>232</v>
      </c>
      <c r="F77" s="174"/>
      <c r="G77" s="111">
        <f>(G70+G72)*0.36259%</f>
        <v>10.820746007953971</v>
      </c>
      <c r="H77" s="112">
        <f t="shared" si="26"/>
        <v>3.3931420861099738E-3</v>
      </c>
      <c r="I77" s="111">
        <f>(I70+I72)*0.36259%</f>
        <v>1298.4895209544766</v>
      </c>
      <c r="J77" s="111">
        <f>(J70+J72)*0.36259%</f>
        <v>36357.706586725348</v>
      </c>
      <c r="K77" s="113">
        <f>(K70+K72)*0.27%</f>
        <v>13.298616842287043</v>
      </c>
      <c r="L77" s="114">
        <f>K77/$K$80</f>
        <v>2.5290116684950634E-3</v>
      </c>
      <c r="M77" s="113">
        <f>(M70+M72)*0.27%</f>
        <v>292.56957053031493</v>
      </c>
      <c r="N77" s="113">
        <f>(N70+N72)*0.27%</f>
        <v>8191.9479748488184</v>
      </c>
      <c r="O77" s="111">
        <f>(O70+O72)*0.33%</f>
        <v>12.841275821985127</v>
      </c>
      <c r="P77" s="112">
        <f t="shared" si="22"/>
        <v>3.0891657530150505E-3</v>
      </c>
      <c r="Q77" s="111">
        <f>(Q70+Q72)*0.33%</f>
        <v>205.46041315176203</v>
      </c>
      <c r="R77" s="111">
        <f>(R70+R72)*0.33%</f>
        <v>5752.8915682493362</v>
      </c>
      <c r="S77" s="111">
        <f>(S70+S72)*0.22%</f>
        <v>18.113323271328092</v>
      </c>
      <c r="T77" s="112">
        <f t="shared" si="23"/>
        <v>2.0617042506485732E-3</v>
      </c>
      <c r="U77" s="111">
        <f>(U70+U72)*0.22%</f>
        <v>344.1531421552337</v>
      </c>
      <c r="V77" s="111">
        <f>(V70+V72)*0.22%</f>
        <v>9636.2879803465421</v>
      </c>
      <c r="W77" s="111">
        <f>(W70+W72)*0.22%</f>
        <v>20.305945008061116</v>
      </c>
      <c r="X77" s="112">
        <f t="shared" si="27"/>
        <v>2.0617042506485732E-3</v>
      </c>
      <c r="Y77" s="111">
        <f>(Y70+Y72)*0.22%</f>
        <v>101.52972504030561</v>
      </c>
      <c r="Z77" s="111">
        <f>(Z70+Z72)*0.22%</f>
        <v>2842.832301128557</v>
      </c>
      <c r="AA77" s="103">
        <f t="shared" si="28"/>
        <v>2242.2023718320925</v>
      </c>
      <c r="AB77" s="111">
        <f t="shared" si="24"/>
        <v>62781.666411298589</v>
      </c>
      <c r="AC77" s="112">
        <f t="shared" si="25"/>
        <v>2.8707614247260112E-3</v>
      </c>
      <c r="AH77" s="116"/>
    </row>
    <row r="78" spans="1:34" s="115" customFormat="1" x14ac:dyDescent="0.25">
      <c r="A78" s="198"/>
      <c r="B78" s="144"/>
      <c r="C78" s="117" t="s">
        <v>176</v>
      </c>
      <c r="D78" s="118" t="s">
        <v>7</v>
      </c>
      <c r="E78" s="147" t="s">
        <v>231</v>
      </c>
      <c r="F78" s="148"/>
      <c r="G78" s="119">
        <f>(G70+G72)*0.36259%</f>
        <v>10.820746007953971</v>
      </c>
      <c r="H78" s="120">
        <f t="shared" si="26"/>
        <v>3.3931420861099738E-3</v>
      </c>
      <c r="I78" s="119">
        <f>(I70+I72)*0.36259%</f>
        <v>1298.4895209544766</v>
      </c>
      <c r="J78" s="119">
        <f>(J70+J72)*0.36259%</f>
        <v>36357.706586725348</v>
      </c>
      <c r="K78" s="121">
        <f>(K70+K72)*0.27%</f>
        <v>13.298616842287043</v>
      </c>
      <c r="L78" s="122">
        <f t="shared" si="21"/>
        <v>2.5290116684950634E-3</v>
      </c>
      <c r="M78" s="121">
        <f>(M70+M72)*0.27%</f>
        <v>292.56957053031493</v>
      </c>
      <c r="N78" s="121">
        <f>(N70+N72)*0.27%</f>
        <v>8191.9479748488184</v>
      </c>
      <c r="O78" s="119">
        <f>(O70+O72)*0.33%</f>
        <v>12.841275821985127</v>
      </c>
      <c r="P78" s="120">
        <f t="shared" si="22"/>
        <v>3.0891657530150505E-3</v>
      </c>
      <c r="Q78" s="119">
        <f>(Q70+Q72)*0.33%</f>
        <v>205.46041315176203</v>
      </c>
      <c r="R78" s="119">
        <f>(R70+R72)*0.33%</f>
        <v>5752.8915682493362</v>
      </c>
      <c r="S78" s="119">
        <f>(S70+S72)*0.22%</f>
        <v>18.113323271328092</v>
      </c>
      <c r="T78" s="120">
        <f t="shared" si="23"/>
        <v>2.0617042506485732E-3</v>
      </c>
      <c r="U78" s="119">
        <f>(U70+U72)*0.22%</f>
        <v>344.1531421552337</v>
      </c>
      <c r="V78" s="119">
        <f>(V70+V72)*0.22%</f>
        <v>9636.2879803465421</v>
      </c>
      <c r="W78" s="119">
        <f>(W70+W72)*0.22%</f>
        <v>20.305945008061116</v>
      </c>
      <c r="X78" s="120">
        <f t="shared" si="27"/>
        <v>2.0617042506485732E-3</v>
      </c>
      <c r="Y78" s="119">
        <f>(Y70+Y72)*0.22%</f>
        <v>101.52972504030561</v>
      </c>
      <c r="Z78" s="119">
        <f>(Z70+Z72)*0.22%</f>
        <v>2842.832301128557</v>
      </c>
      <c r="AA78" s="103">
        <f t="shared" si="28"/>
        <v>2242.2023718320925</v>
      </c>
      <c r="AB78" s="119">
        <f t="shared" si="24"/>
        <v>62781.666411298589</v>
      </c>
      <c r="AC78" s="120">
        <f t="shared" si="25"/>
        <v>2.8707614247260112E-3</v>
      </c>
      <c r="AH78" s="116"/>
    </row>
    <row r="79" spans="1:34" x14ac:dyDescent="0.25">
      <c r="A79" s="145" t="s">
        <v>95</v>
      </c>
      <c r="B79" s="167"/>
      <c r="C79" s="167"/>
      <c r="D79" s="167"/>
      <c r="E79" s="167"/>
      <c r="F79" s="146"/>
      <c r="G79" s="58">
        <f t="shared" ref="G79:Z79" si="30">G72+G76+G78</f>
        <v>216.00961210399362</v>
      </c>
      <c r="H79" s="59">
        <f t="shared" si="26"/>
        <v>6.7735746250358608E-2</v>
      </c>
      <c r="I79" s="58">
        <f t="shared" si="30"/>
        <v>25921.153452479237</v>
      </c>
      <c r="J79" s="58">
        <f t="shared" si="30"/>
        <v>725792.29666941869</v>
      </c>
      <c r="K79" s="65">
        <f t="shared" si="30"/>
        <v>347.51764337800449</v>
      </c>
      <c r="L79" s="66">
        <f t="shared" si="21"/>
        <v>6.6087788341733594E-2</v>
      </c>
      <c r="M79" s="65">
        <f t="shared" si="30"/>
        <v>7645.3881543160978</v>
      </c>
      <c r="N79" s="65">
        <f t="shared" si="30"/>
        <v>214070.86832085074</v>
      </c>
      <c r="O79" s="69">
        <f t="shared" si="30"/>
        <v>278.53139073634918</v>
      </c>
      <c r="P79" s="70">
        <f t="shared" si="22"/>
        <v>6.7004995868811576E-2</v>
      </c>
      <c r="Q79" s="69">
        <f t="shared" si="30"/>
        <v>4456.5022517815869</v>
      </c>
      <c r="R79" s="69">
        <f t="shared" si="30"/>
        <v>124782.06304988441</v>
      </c>
      <c r="S79" s="58">
        <f t="shared" si="30"/>
        <v>572.03974238098192</v>
      </c>
      <c r="T79" s="59">
        <f t="shared" si="23"/>
        <v>6.5111009765592934E-2</v>
      </c>
      <c r="U79" s="58">
        <f t="shared" si="30"/>
        <v>10868.755105238657</v>
      </c>
      <c r="V79" s="58">
        <f t="shared" si="30"/>
        <v>304325.14294668235</v>
      </c>
      <c r="W79" s="85">
        <f>W72+W76+W78</f>
        <v>639.65672922511726</v>
      </c>
      <c r="X79" s="86">
        <f>W79/$W$80</f>
        <v>6.4945659858521881E-2</v>
      </c>
      <c r="Y79" s="85">
        <f>Y72+Y76+Y78</f>
        <v>3198.2836461255874</v>
      </c>
      <c r="Z79" s="85">
        <f t="shared" si="30"/>
        <v>89551.942091516437</v>
      </c>
      <c r="AA79" s="20">
        <f t="shared" si="28"/>
        <v>52090.082609941164</v>
      </c>
      <c r="AB79" s="31">
        <f t="shared" si="24"/>
        <v>1458522.3130783527</v>
      </c>
      <c r="AC79" s="42">
        <f t="shared" si="25"/>
        <v>6.6692552664291138E-2</v>
      </c>
    </row>
    <row r="80" spans="1:34" ht="16.149999999999999" customHeight="1" x14ac:dyDescent="0.25">
      <c r="A80" s="164" t="s">
        <v>69</v>
      </c>
      <c r="B80" s="165"/>
      <c r="C80" s="165"/>
      <c r="D80" s="165"/>
      <c r="E80" s="165"/>
      <c r="F80" s="166"/>
      <c r="G80" s="62">
        <f t="shared" ref="G80:V80" si="31">G70+G79</f>
        <v>3189.0046845516226</v>
      </c>
      <c r="H80" s="63">
        <f t="shared" si="26"/>
        <v>1</v>
      </c>
      <c r="I80" s="62">
        <f>I70+I79</f>
        <v>382680.56214619469</v>
      </c>
      <c r="J80" s="62">
        <f t="shared" si="31"/>
        <v>10715055.740093453</v>
      </c>
      <c r="K80" s="65">
        <f t="shared" si="31"/>
        <v>5258.4244699039436</v>
      </c>
      <c r="L80" s="66">
        <f t="shared" si="21"/>
        <v>1</v>
      </c>
      <c r="M80" s="65">
        <f t="shared" si="31"/>
        <v>115685.33833788677</v>
      </c>
      <c r="N80" s="65">
        <f t="shared" si="31"/>
        <v>3239189.4734608294</v>
      </c>
      <c r="O80" s="73">
        <f t="shared" si="31"/>
        <v>4156.8749781237666</v>
      </c>
      <c r="P80" s="74">
        <f t="shared" si="22"/>
        <v>1</v>
      </c>
      <c r="Q80" s="73">
        <f>Q70+Q79</f>
        <v>66509.999649980266</v>
      </c>
      <c r="R80" s="73">
        <f t="shared" si="31"/>
        <v>1862279.9901994476</v>
      </c>
      <c r="S80" s="62">
        <f>S70+S79</f>
        <v>8785.6069878257185</v>
      </c>
      <c r="T80" s="63">
        <f t="shared" si="23"/>
        <v>1</v>
      </c>
      <c r="U80" s="62">
        <f t="shared" si="31"/>
        <v>166926.53276868863</v>
      </c>
      <c r="V80" s="62">
        <f t="shared" si="31"/>
        <v>4673942.9175232807</v>
      </c>
      <c r="W80" s="65">
        <f>W70+W79</f>
        <v>9849.106631891189</v>
      </c>
      <c r="X80" s="66">
        <f t="shared" si="27"/>
        <v>1</v>
      </c>
      <c r="Y80" s="65">
        <f>Y70+Y79</f>
        <v>49245.533159455954</v>
      </c>
      <c r="Z80" s="65">
        <f>Z70+Z79</f>
        <v>1378874.9284647668</v>
      </c>
      <c r="AA80" s="20">
        <f t="shared" si="28"/>
        <v>781047.96606220631</v>
      </c>
      <c r="AB80" s="32">
        <f t="shared" si="24"/>
        <v>21869343.049741775</v>
      </c>
      <c r="AC80" s="42">
        <f t="shared" si="25"/>
        <v>1</v>
      </c>
    </row>
    <row r="81" spans="1:26" x14ac:dyDescent="0.25">
      <c r="I81" s="64">
        <f>J80/120</f>
        <v>89292.131167445434</v>
      </c>
    </row>
    <row r="82" spans="1:26" x14ac:dyDescent="0.25">
      <c r="I82" s="64">
        <v>89292.13</v>
      </c>
    </row>
    <row r="84" spans="1:26" ht="26.25" customHeight="1" x14ac:dyDescent="0.25">
      <c r="A84" s="195" t="s">
        <v>207</v>
      </c>
      <c r="B84" s="195"/>
      <c r="C84" s="195"/>
      <c r="D84" s="195"/>
      <c r="E84" s="195"/>
      <c r="F84" s="195"/>
      <c r="G84" s="195"/>
      <c r="H84" s="195"/>
      <c r="I84" s="195"/>
      <c r="J84" s="195"/>
      <c r="K84" s="195"/>
      <c r="M84" s="64">
        <f>N80/22</f>
        <v>147235.88515731043</v>
      </c>
      <c r="N84" s="3"/>
      <c r="O84" s="3"/>
      <c r="Q84" s="64">
        <f>R80/16</f>
        <v>116392.49938746548</v>
      </c>
      <c r="R84" s="3"/>
      <c r="S84" s="3"/>
      <c r="U84" s="64">
        <f>V80/19</f>
        <v>245996.99565912003</v>
      </c>
      <c r="V84" s="3"/>
      <c r="W84" s="3"/>
      <c r="Y84" s="3"/>
      <c r="Z84" s="3"/>
    </row>
    <row r="85" spans="1:26" x14ac:dyDescent="0.25">
      <c r="G85" s="33"/>
      <c r="M85" s="132">
        <v>147235.89000000001</v>
      </c>
      <c r="N85" s="94"/>
      <c r="Q85" s="64">
        <v>116392.5</v>
      </c>
      <c r="U85" s="64">
        <v>245997</v>
      </c>
      <c r="Z85" s="64">
        <f>'Precificação por Lote'!AA6/5</f>
        <v>275774.98569295334</v>
      </c>
    </row>
    <row r="86" spans="1:26" x14ac:dyDescent="0.25">
      <c r="A86" s="195" t="s">
        <v>208</v>
      </c>
      <c r="B86" s="195"/>
      <c r="C86" s="195"/>
      <c r="D86" s="195"/>
      <c r="E86" s="195"/>
      <c r="F86" s="195"/>
      <c r="G86" s="195"/>
      <c r="H86" s="195"/>
      <c r="I86" s="195"/>
      <c r="J86" s="195"/>
      <c r="K86" s="195"/>
      <c r="M86" s="95"/>
      <c r="N86" s="96"/>
      <c r="Z86" s="64">
        <v>275775</v>
      </c>
    </row>
    <row r="87" spans="1:26" ht="15" customHeight="1" x14ac:dyDescent="0.25">
      <c r="A87" s="195"/>
      <c r="B87" s="195"/>
      <c r="C87" s="195"/>
      <c r="D87" s="195"/>
      <c r="E87" s="195"/>
      <c r="F87" s="195"/>
      <c r="G87" s="195"/>
      <c r="H87" s="195"/>
      <c r="I87" s="195"/>
      <c r="J87" s="195"/>
      <c r="K87" s="195"/>
      <c r="M87" s="95"/>
      <c r="N87" s="96"/>
    </row>
    <row r="88" spans="1:26" ht="15" customHeight="1" x14ac:dyDescent="0.25">
      <c r="A88" s="195"/>
      <c r="B88" s="195"/>
      <c r="C88" s="195"/>
      <c r="D88" s="195"/>
      <c r="E88" s="195"/>
      <c r="F88" s="195"/>
      <c r="G88" s="195"/>
      <c r="H88" s="195"/>
      <c r="I88" s="195"/>
      <c r="J88" s="195"/>
      <c r="K88" s="195"/>
    </row>
    <row r="89" spans="1:26" ht="15" customHeight="1" x14ac:dyDescent="0.25">
      <c r="A89" s="195"/>
      <c r="B89" s="195"/>
      <c r="C89" s="195"/>
      <c r="D89" s="195"/>
      <c r="E89" s="195"/>
      <c r="F89" s="195"/>
      <c r="G89" s="195"/>
      <c r="H89" s="195"/>
      <c r="I89" s="195"/>
      <c r="J89" s="195"/>
      <c r="K89" s="195"/>
      <c r="N89" s="47"/>
      <c r="O89" s="3"/>
      <c r="Q89" s="3"/>
      <c r="U89" s="3"/>
      <c r="Y89" s="3"/>
    </row>
    <row r="90" spans="1:26" ht="15" customHeight="1" x14ac:dyDescent="0.25">
      <c r="A90" s="195"/>
      <c r="B90" s="195"/>
      <c r="C90" s="195"/>
      <c r="D90" s="195"/>
      <c r="E90" s="195"/>
      <c r="F90" s="195"/>
      <c r="G90" s="195"/>
      <c r="H90" s="195"/>
      <c r="I90" s="195"/>
      <c r="J90" s="195"/>
      <c r="K90" s="195"/>
      <c r="Q90" s="64"/>
      <c r="U90" s="64"/>
      <c r="Y90" s="64"/>
    </row>
    <row r="91" spans="1:26" ht="15" customHeight="1" x14ac:dyDescent="0.25">
      <c r="A91" s="195"/>
      <c r="B91" s="195"/>
      <c r="C91" s="195"/>
      <c r="D91" s="195"/>
      <c r="E91" s="195"/>
      <c r="F91" s="195"/>
      <c r="G91" s="195"/>
      <c r="H91" s="195"/>
      <c r="I91" s="195"/>
      <c r="J91" s="195"/>
      <c r="K91" s="195"/>
      <c r="N91" s="64"/>
      <c r="O91" s="64"/>
    </row>
    <row r="92" spans="1:26" ht="101.25" customHeight="1" x14ac:dyDescent="0.25">
      <c r="A92" s="195"/>
      <c r="B92" s="195"/>
      <c r="C92" s="195"/>
      <c r="D92" s="195"/>
      <c r="E92" s="195"/>
      <c r="F92" s="195"/>
      <c r="G92" s="195"/>
      <c r="H92" s="195"/>
      <c r="I92" s="195"/>
      <c r="J92" s="195"/>
      <c r="K92" s="195"/>
    </row>
    <row r="93" spans="1:26" ht="15" x14ac:dyDescent="0.2">
      <c r="A93" s="44"/>
      <c r="N93" s="99"/>
      <c r="O93" s="99"/>
      <c r="Q93" s="99"/>
      <c r="U93" s="99"/>
      <c r="Y93" s="99"/>
    </row>
    <row r="94" spans="1:26" ht="15" x14ac:dyDescent="0.2">
      <c r="A94" s="44"/>
      <c r="N94" s="99"/>
      <c r="O94" s="99"/>
      <c r="Q94" s="99"/>
      <c r="U94" s="99"/>
      <c r="Y94" s="99"/>
    </row>
  </sheetData>
  <mergeCells count="123">
    <mergeCell ref="A86:K92"/>
    <mergeCell ref="A84:K84"/>
    <mergeCell ref="A71:A78"/>
    <mergeCell ref="A22:A67"/>
    <mergeCell ref="A68:A69"/>
    <mergeCell ref="E56:F56"/>
    <mergeCell ref="E57:F57"/>
    <mergeCell ref="E58:F58"/>
    <mergeCell ref="E59:F59"/>
    <mergeCell ref="E64:F64"/>
    <mergeCell ref="E65:F65"/>
    <mergeCell ref="E67:F67"/>
    <mergeCell ref="E69:F69"/>
    <mergeCell ref="E52:F52"/>
    <mergeCell ref="E53:F53"/>
    <mergeCell ref="E54:F54"/>
    <mergeCell ref="E40:F40"/>
    <mergeCell ref="B32:B41"/>
    <mergeCell ref="E25:F25"/>
    <mergeCell ref="E26:F26"/>
    <mergeCell ref="E27:F27"/>
    <mergeCell ref="E28:F28"/>
    <mergeCell ref="E35:F35"/>
    <mergeCell ref="E36:F36"/>
    <mergeCell ref="AA3:AB3"/>
    <mergeCell ref="AA4:AB4"/>
    <mergeCell ref="E9:F9"/>
    <mergeCell ref="E10:F10"/>
    <mergeCell ref="E11:F11"/>
    <mergeCell ref="E12:F12"/>
    <mergeCell ref="E48:F48"/>
    <mergeCell ref="E7:F7"/>
    <mergeCell ref="E8:F8"/>
    <mergeCell ref="E13:F13"/>
    <mergeCell ref="E14:F14"/>
    <mergeCell ref="E39:F39"/>
    <mergeCell ref="E24:F24"/>
    <mergeCell ref="E37:F37"/>
    <mergeCell ref="E38:F38"/>
    <mergeCell ref="E2:F5"/>
    <mergeCell ref="E6:F6"/>
    <mergeCell ref="O2:R2"/>
    <mergeCell ref="G3:H3"/>
    <mergeCell ref="K3:L3"/>
    <mergeCell ref="O3:P3"/>
    <mergeCell ref="I3:J3"/>
    <mergeCell ref="I4:J4"/>
    <mergeCell ref="W2:Z2"/>
    <mergeCell ref="S3:T3"/>
    <mergeCell ref="W3:X3"/>
    <mergeCell ref="S4:T4"/>
    <mergeCell ref="U3:V3"/>
    <mergeCell ref="U4:V4"/>
    <mergeCell ref="W4:X4"/>
    <mergeCell ref="Y3:Z3"/>
    <mergeCell ref="S2:V2"/>
    <mergeCell ref="B42:B54"/>
    <mergeCell ref="E46:F46"/>
    <mergeCell ref="E47:F47"/>
    <mergeCell ref="E76:F76"/>
    <mergeCell ref="E77:F77"/>
    <mergeCell ref="E29:F29"/>
    <mergeCell ref="E42:F42"/>
    <mergeCell ref="E43:F43"/>
    <mergeCell ref="E44:F44"/>
    <mergeCell ref="E45:F45"/>
    <mergeCell ref="E55:F55"/>
    <mergeCell ref="E66:F66"/>
    <mergeCell ref="E51:F51"/>
    <mergeCell ref="E60:F60"/>
    <mergeCell ref="E61:F61"/>
    <mergeCell ref="E62:F62"/>
    <mergeCell ref="E63:F63"/>
    <mergeCell ref="E49:F49"/>
    <mergeCell ref="E50:F50"/>
    <mergeCell ref="A80:F80"/>
    <mergeCell ref="A70:F70"/>
    <mergeCell ref="D2:D5"/>
    <mergeCell ref="B16:B21"/>
    <mergeCell ref="O4:P4"/>
    <mergeCell ref="Q3:R3"/>
    <mergeCell ref="Q4:R4"/>
    <mergeCell ref="E30:F30"/>
    <mergeCell ref="E41:F41"/>
    <mergeCell ref="E31:F31"/>
    <mergeCell ref="E32:F32"/>
    <mergeCell ref="E33:F33"/>
    <mergeCell ref="E34:F34"/>
    <mergeCell ref="A2:A5"/>
    <mergeCell ref="B6:B15"/>
    <mergeCell ref="A6:A21"/>
    <mergeCell ref="B22:B31"/>
    <mergeCell ref="G4:H4"/>
    <mergeCell ref="K4:L4"/>
    <mergeCell ref="M3:N3"/>
    <mergeCell ref="M4:N4"/>
    <mergeCell ref="A79:F79"/>
    <mergeCell ref="E73:F73"/>
    <mergeCell ref="E74:F74"/>
    <mergeCell ref="AC3:AC5"/>
    <mergeCell ref="AA2:AC2"/>
    <mergeCell ref="A1:AC1"/>
    <mergeCell ref="E71:F71"/>
    <mergeCell ref="Y4:Z4"/>
    <mergeCell ref="B2:B5"/>
    <mergeCell ref="C2:C5"/>
    <mergeCell ref="B55:B67"/>
    <mergeCell ref="B71:B78"/>
    <mergeCell ref="E72:F72"/>
    <mergeCell ref="E78:F78"/>
    <mergeCell ref="B68:B69"/>
    <mergeCell ref="G2:J2"/>
    <mergeCell ref="K2:N2"/>
    <mergeCell ref="E68:F68"/>
    <mergeCell ref="E15:F15"/>
    <mergeCell ref="E16:F16"/>
    <mergeCell ref="E17:F17"/>
    <mergeCell ref="E18:F18"/>
    <mergeCell ref="E20:F20"/>
    <mergeCell ref="E21:F21"/>
    <mergeCell ref="E22:F22"/>
    <mergeCell ref="E23:F23"/>
    <mergeCell ref="E75:F7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17 K17 O17 S17 W17 H70:R70 H80 J80:P80 H76:R76 H73 L73 H74 L74 H75 L75 H72 L71 P74 P75 P73 H79:R79 H77 P77 T73 T74 T75 X73 X74 X75 P71 T71 T77 X77 T80:V80 L72 H78 L78 P72 P78 T72 X72 T78 X78:X79 S70:V70 S76:V76 S79:V79 R80 Z76 Z79 X80 X76 Z70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6"/>
  <sheetViews>
    <sheetView topLeftCell="V1" zoomScale="106" zoomScaleNormal="106" workbookViewId="0">
      <selection activeCell="AA11" sqref="AA11"/>
    </sheetView>
  </sheetViews>
  <sheetFormatPr defaultColWidth="10.75" defaultRowHeight="8.25" x14ac:dyDescent="0.15"/>
  <cols>
    <col min="1" max="1" width="3.25" style="128" customWidth="1"/>
    <col min="2" max="2" width="8" style="128" customWidth="1"/>
    <col min="3" max="3" width="10.75" style="128" customWidth="1"/>
    <col min="4" max="4" width="5.75" style="129" customWidth="1"/>
    <col min="5" max="5" width="9.25" style="128" bestFit="1" customWidth="1"/>
    <col min="6" max="6" width="11.25" style="128" bestFit="1" customWidth="1"/>
    <col min="7" max="7" width="14.25" style="128" bestFit="1" customWidth="1"/>
    <col min="8" max="8" width="9.25" style="130" bestFit="1" customWidth="1"/>
    <col min="9" max="9" width="4.75" style="129" customWidth="1"/>
    <col min="10" max="10" width="9.25" style="128" bestFit="1" customWidth="1"/>
    <col min="11" max="11" width="11.75" style="128" bestFit="1" customWidth="1"/>
    <col min="12" max="12" width="12.75" style="128" bestFit="1" customWidth="1"/>
    <col min="13" max="13" width="9.25" style="130" bestFit="1" customWidth="1"/>
    <col min="14" max="14" width="4.75" style="129" customWidth="1"/>
    <col min="15" max="15" width="9.25" style="128" bestFit="1" customWidth="1"/>
    <col min="16" max="16" width="10.75" style="128" bestFit="1" customWidth="1"/>
    <col min="17" max="17" width="12.75" style="128" bestFit="1" customWidth="1"/>
    <col min="18" max="18" width="9.25" style="130" bestFit="1" customWidth="1"/>
    <col min="19" max="19" width="4.25" style="129" customWidth="1"/>
    <col min="20" max="20" width="9.75" style="128" customWidth="1"/>
    <col min="21" max="21" width="11.75" style="128" bestFit="1" customWidth="1"/>
    <col min="22" max="22" width="12.75" style="128" bestFit="1" customWidth="1"/>
    <col min="23" max="23" width="9.25" style="130" bestFit="1" customWidth="1"/>
    <col min="24" max="24" width="4.25" style="129" customWidth="1"/>
    <col min="25" max="25" width="10" style="128" bestFit="1" customWidth="1"/>
    <col min="26" max="26" width="10.75" style="128" bestFit="1" customWidth="1"/>
    <col min="27" max="27" width="15.875" style="128" customWidth="1"/>
    <col min="28" max="28" width="9.875" style="130" customWidth="1"/>
    <col min="29" max="29" width="13.125" style="129" customWidth="1"/>
    <col min="30" max="30" width="11.25" style="131" customWidth="1"/>
    <col min="31" max="31" width="12.75" style="131" bestFit="1" customWidth="1"/>
    <col min="32" max="32" width="16.75" style="131" customWidth="1"/>
    <col min="33" max="33" width="17.25" style="128" bestFit="1" customWidth="1"/>
    <col min="34" max="16384" width="10.75" style="37"/>
  </cols>
  <sheetData>
    <row r="1" spans="1:32" ht="21.75" customHeight="1" x14ac:dyDescent="0.15">
      <c r="A1" s="206" t="s">
        <v>96</v>
      </c>
      <c r="B1" s="214" t="s">
        <v>195</v>
      </c>
      <c r="C1" s="206" t="s">
        <v>193</v>
      </c>
      <c r="D1" s="135" t="s">
        <v>98</v>
      </c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 t="s">
        <v>52</v>
      </c>
      <c r="AD1" s="135"/>
      <c r="AE1" s="135"/>
      <c r="AF1" s="135"/>
    </row>
    <row r="2" spans="1:32" ht="30" customHeight="1" x14ac:dyDescent="0.15">
      <c r="A2" s="206"/>
      <c r="B2" s="215"/>
      <c r="C2" s="206"/>
      <c r="D2" s="134" t="s">
        <v>36</v>
      </c>
      <c r="E2" s="134"/>
      <c r="F2" s="134"/>
      <c r="G2" s="134"/>
      <c r="H2" s="134"/>
      <c r="I2" s="134" t="s">
        <v>37</v>
      </c>
      <c r="J2" s="134"/>
      <c r="K2" s="134"/>
      <c r="L2" s="134"/>
      <c r="M2" s="134"/>
      <c r="N2" s="134" t="s">
        <v>38</v>
      </c>
      <c r="O2" s="134"/>
      <c r="P2" s="134"/>
      <c r="Q2" s="134"/>
      <c r="R2" s="134"/>
      <c r="S2" s="134" t="s">
        <v>39</v>
      </c>
      <c r="T2" s="134"/>
      <c r="U2" s="134"/>
      <c r="V2" s="134"/>
      <c r="W2" s="134"/>
      <c r="X2" s="134" t="s">
        <v>40</v>
      </c>
      <c r="Y2" s="134"/>
      <c r="Z2" s="134"/>
      <c r="AA2" s="134"/>
      <c r="AB2" s="134"/>
      <c r="AC2" s="204" t="s">
        <v>114</v>
      </c>
      <c r="AD2" s="205" t="s">
        <v>112</v>
      </c>
      <c r="AE2" s="205"/>
      <c r="AF2" s="205"/>
    </row>
    <row r="3" spans="1:32" ht="75" x14ac:dyDescent="0.15">
      <c r="A3" s="206"/>
      <c r="B3" s="216"/>
      <c r="C3" s="206"/>
      <c r="D3" s="107" t="s">
        <v>114</v>
      </c>
      <c r="E3" s="106" t="s">
        <v>194</v>
      </c>
      <c r="F3" s="106" t="s">
        <v>198</v>
      </c>
      <c r="G3" s="106" t="s">
        <v>199</v>
      </c>
      <c r="H3" s="45" t="s">
        <v>97</v>
      </c>
      <c r="I3" s="107" t="s">
        <v>114</v>
      </c>
      <c r="J3" s="106" t="s">
        <v>194</v>
      </c>
      <c r="K3" s="106" t="s">
        <v>198</v>
      </c>
      <c r="L3" s="106" t="s">
        <v>199</v>
      </c>
      <c r="M3" s="45" t="s">
        <v>97</v>
      </c>
      <c r="N3" s="107" t="s">
        <v>114</v>
      </c>
      <c r="O3" s="106" t="s">
        <v>194</v>
      </c>
      <c r="P3" s="106" t="s">
        <v>198</v>
      </c>
      <c r="Q3" s="106" t="s">
        <v>199</v>
      </c>
      <c r="R3" s="45" t="s">
        <v>97</v>
      </c>
      <c r="S3" s="107" t="s">
        <v>114</v>
      </c>
      <c r="T3" s="106" t="s">
        <v>194</v>
      </c>
      <c r="U3" s="106" t="s">
        <v>198</v>
      </c>
      <c r="V3" s="106" t="s">
        <v>199</v>
      </c>
      <c r="W3" s="45" t="s">
        <v>97</v>
      </c>
      <c r="X3" s="107" t="s">
        <v>114</v>
      </c>
      <c r="Y3" s="106" t="s">
        <v>194</v>
      </c>
      <c r="Z3" s="106" t="s">
        <v>198</v>
      </c>
      <c r="AA3" s="106" t="s">
        <v>199</v>
      </c>
      <c r="AB3" s="45" t="s">
        <v>97</v>
      </c>
      <c r="AC3" s="204"/>
      <c r="AD3" s="108" t="s">
        <v>83</v>
      </c>
      <c r="AE3" s="46" t="s">
        <v>196</v>
      </c>
      <c r="AF3" s="46" t="s">
        <v>197</v>
      </c>
    </row>
    <row r="4" spans="1:32" ht="39" customHeight="1" x14ac:dyDescent="0.15">
      <c r="A4" s="207">
        <v>21</v>
      </c>
      <c r="B4" s="211" t="s">
        <v>200</v>
      </c>
      <c r="C4" s="91" t="s">
        <v>100</v>
      </c>
      <c r="D4" s="123">
        <v>114</v>
      </c>
      <c r="E4" s="208">
        <f>'Precificação Total'!G$80</f>
        <v>3189.0046845516226</v>
      </c>
      <c r="F4" s="124">
        <f>D4*$E$4</f>
        <v>363546.53403888497</v>
      </c>
      <c r="G4" s="124">
        <f t="shared" ref="G4:G5" si="0">F4*28</f>
        <v>10179302.953088779</v>
      </c>
      <c r="H4" s="92">
        <v>44202</v>
      </c>
      <c r="I4" s="123">
        <v>0</v>
      </c>
      <c r="J4" s="209">
        <f>'Precificação Total'!K$80</f>
        <v>5258.4244699039436</v>
      </c>
      <c r="K4" s="124">
        <f>I4*$J$4</f>
        <v>0</v>
      </c>
      <c r="L4" s="124">
        <f t="shared" ref="L4:L5" si="1">K4*28</f>
        <v>0</v>
      </c>
      <c r="M4" s="92" t="s">
        <v>113</v>
      </c>
      <c r="N4" s="123">
        <v>8</v>
      </c>
      <c r="O4" s="209">
        <f>'Precificação Total'!O$80</f>
        <v>4156.8749781237666</v>
      </c>
      <c r="P4" s="124">
        <f>N4*$O$4</f>
        <v>33254.999824990133</v>
      </c>
      <c r="Q4" s="124">
        <f t="shared" ref="Q4:Q5" si="2">P4*28</f>
        <v>931139.99509972369</v>
      </c>
      <c r="R4" s="92">
        <v>44202</v>
      </c>
      <c r="S4" s="123">
        <v>0</v>
      </c>
      <c r="T4" s="209">
        <f>'Precificação Total'!S$80</f>
        <v>8785.6069878257185</v>
      </c>
      <c r="U4" s="124">
        <f>S4*$T$4</f>
        <v>0</v>
      </c>
      <c r="V4" s="124">
        <f t="shared" ref="V4:V5" si="3">U4*28</f>
        <v>0</v>
      </c>
      <c r="W4" s="92" t="s">
        <v>113</v>
      </c>
      <c r="X4" s="123">
        <v>0</v>
      </c>
      <c r="Y4" s="209">
        <f>'Precificação Total'!W$80</f>
        <v>9849.106631891189</v>
      </c>
      <c r="Z4" s="124">
        <f>X4*$Y$4</f>
        <v>0</v>
      </c>
      <c r="AA4" s="124">
        <f t="shared" ref="AA4" si="4">Z4*28</f>
        <v>0</v>
      </c>
      <c r="AB4" s="92" t="s">
        <v>113</v>
      </c>
      <c r="AC4" s="123">
        <f>D4+I4+N4+S4+X4</f>
        <v>122</v>
      </c>
      <c r="AD4" s="125">
        <f>F4+K4+P4+U4+Z4</f>
        <v>396801.53386387508</v>
      </c>
      <c r="AE4" s="125">
        <f t="shared" ref="AE4:AE5" si="5">AD4*12</f>
        <v>4761618.406366501</v>
      </c>
      <c r="AF4" s="125">
        <f t="shared" ref="AF4:AF5" si="6">AD4*28</f>
        <v>11110442.948188502</v>
      </c>
    </row>
    <row r="5" spans="1:32" ht="37.5" customHeight="1" x14ac:dyDescent="0.15">
      <c r="A5" s="207"/>
      <c r="B5" s="212"/>
      <c r="C5" s="91" t="s">
        <v>101</v>
      </c>
      <c r="D5" s="123">
        <v>6</v>
      </c>
      <c r="E5" s="208"/>
      <c r="F5" s="124">
        <f>D5*$E$4</f>
        <v>19134.028107309736</v>
      </c>
      <c r="G5" s="124">
        <f t="shared" si="0"/>
        <v>535752.78700467257</v>
      </c>
      <c r="H5" s="92">
        <v>44202</v>
      </c>
      <c r="I5" s="123">
        <v>22</v>
      </c>
      <c r="J5" s="210"/>
      <c r="K5" s="124">
        <f>I5*$J$4</f>
        <v>115685.33833788676</v>
      </c>
      <c r="L5" s="124">
        <f t="shared" si="1"/>
        <v>3239189.4734608294</v>
      </c>
      <c r="M5" s="92">
        <v>44202</v>
      </c>
      <c r="N5" s="123">
        <v>8</v>
      </c>
      <c r="O5" s="210"/>
      <c r="P5" s="124">
        <f>N5*$O$4</f>
        <v>33254.999824990133</v>
      </c>
      <c r="Q5" s="124">
        <f t="shared" si="2"/>
        <v>931139.99509972369</v>
      </c>
      <c r="R5" s="92">
        <v>44445</v>
      </c>
      <c r="S5" s="123">
        <v>19</v>
      </c>
      <c r="T5" s="210"/>
      <c r="U5" s="124">
        <f>S5*$T$4</f>
        <v>166926.53276868866</v>
      </c>
      <c r="V5" s="124">
        <f t="shared" si="3"/>
        <v>4673942.9175232826</v>
      </c>
      <c r="W5" s="92">
        <v>44291</v>
      </c>
      <c r="X5" s="123">
        <v>5</v>
      </c>
      <c r="Y5" s="210"/>
      <c r="Z5" s="124">
        <f>X5*$Y$4</f>
        <v>49245.533159455947</v>
      </c>
      <c r="AA5" s="124">
        <f>Z5*28</f>
        <v>1378874.9284647666</v>
      </c>
      <c r="AB5" s="92">
        <v>44291</v>
      </c>
      <c r="AC5" s="123">
        <f>D5+I5+N5+S5+X5</f>
        <v>60</v>
      </c>
      <c r="AD5" s="125">
        <f>F5+K5+P5+U5+Z5</f>
        <v>384246.43219833123</v>
      </c>
      <c r="AE5" s="125">
        <f t="shared" si="5"/>
        <v>4610957.1863799747</v>
      </c>
      <c r="AF5" s="125">
        <f t="shared" si="6"/>
        <v>10758900.101553274</v>
      </c>
    </row>
    <row r="6" spans="1:32" ht="29.25" customHeight="1" x14ac:dyDescent="0.15">
      <c r="A6" s="207"/>
      <c r="B6" s="213"/>
      <c r="C6" s="91" t="s">
        <v>52</v>
      </c>
      <c r="D6" s="126">
        <f>SUM(D4:D5)</f>
        <v>120</v>
      </c>
      <c r="E6" s="93" t="s">
        <v>113</v>
      </c>
      <c r="F6" s="93">
        <f t="shared" ref="F6:AF6" si="7">SUM(F4:F5)</f>
        <v>382680.56214619469</v>
      </c>
      <c r="G6" s="93">
        <f t="shared" si="7"/>
        <v>10715055.740093451</v>
      </c>
      <c r="H6" s="93" t="s">
        <v>113</v>
      </c>
      <c r="I6" s="126">
        <f t="shared" si="7"/>
        <v>22</v>
      </c>
      <c r="J6" s="93" t="s">
        <v>113</v>
      </c>
      <c r="K6" s="93">
        <f t="shared" si="7"/>
        <v>115685.33833788676</v>
      </c>
      <c r="L6" s="93">
        <f t="shared" si="7"/>
        <v>3239189.4734608294</v>
      </c>
      <c r="M6" s="93" t="s">
        <v>113</v>
      </c>
      <c r="N6" s="126">
        <f t="shared" si="7"/>
        <v>16</v>
      </c>
      <c r="O6" s="93" t="s">
        <v>113</v>
      </c>
      <c r="P6" s="93">
        <f t="shared" si="7"/>
        <v>66509.999649980266</v>
      </c>
      <c r="Q6" s="93">
        <f t="shared" si="7"/>
        <v>1862279.9901994474</v>
      </c>
      <c r="R6" s="93" t="s">
        <v>113</v>
      </c>
      <c r="S6" s="126">
        <f t="shared" si="7"/>
        <v>19</v>
      </c>
      <c r="T6" s="93" t="s">
        <v>113</v>
      </c>
      <c r="U6" s="93">
        <f t="shared" si="7"/>
        <v>166926.53276868866</v>
      </c>
      <c r="V6" s="93">
        <f t="shared" si="7"/>
        <v>4673942.9175232826</v>
      </c>
      <c r="W6" s="93" t="s">
        <v>113</v>
      </c>
      <c r="X6" s="126">
        <f t="shared" si="7"/>
        <v>5</v>
      </c>
      <c r="Y6" s="93" t="s">
        <v>113</v>
      </c>
      <c r="Z6" s="93">
        <f>SUM(Z4:Z5)</f>
        <v>49245.533159455947</v>
      </c>
      <c r="AA6" s="93">
        <f t="shared" si="7"/>
        <v>1378874.9284647666</v>
      </c>
      <c r="AB6" s="93" t="s">
        <v>113</v>
      </c>
      <c r="AC6" s="126">
        <f t="shared" si="7"/>
        <v>182</v>
      </c>
      <c r="AD6" s="93">
        <f t="shared" si="7"/>
        <v>781047.96606220631</v>
      </c>
      <c r="AE6" s="93">
        <f t="shared" si="7"/>
        <v>9372575.5927464757</v>
      </c>
      <c r="AF6" s="127">
        <f t="shared" si="7"/>
        <v>21869343.049741775</v>
      </c>
    </row>
  </sheetData>
  <mergeCells count="19">
    <mergeCell ref="A1:A3"/>
    <mergeCell ref="D2:H2"/>
    <mergeCell ref="C1:C3"/>
    <mergeCell ref="D1:AB1"/>
    <mergeCell ref="A4:A6"/>
    <mergeCell ref="E4:E5"/>
    <mergeCell ref="J4:J5"/>
    <mergeCell ref="B4:B6"/>
    <mergeCell ref="B1:B3"/>
    <mergeCell ref="O4:O5"/>
    <mergeCell ref="T4:T5"/>
    <mergeCell ref="Y4:Y5"/>
    <mergeCell ref="AC2:AC3"/>
    <mergeCell ref="AD2:AF2"/>
    <mergeCell ref="AC1:AF1"/>
    <mergeCell ref="I2:M2"/>
    <mergeCell ref="N2:R2"/>
    <mergeCell ref="S2:W2"/>
    <mergeCell ref="X2:AB2"/>
  </mergeCells>
  <printOptions horizontalCentered="1" verticalCentered="1"/>
  <pageMargins left="0.11811023622047245" right="0.11811023622047245" top="0.78740157480314965" bottom="0.78740157480314965" header="0.31496062992125984" footer="0.31496062992125984"/>
  <pageSetup paperSize="9" scale="65" orientation="portrait" horizontalDpi="4294967293" verticalDpi="4294967293" r:id="rId1"/>
  <ignoredErrors>
    <ignoredError sqref="F6:G6 G4 G5 L4:L6 Q4:Q6 V4:V6 AA4 AE4:AE5 AF4:AF5 AD6:AF6 AC6 AA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9"/>
  <sheetViews>
    <sheetView topLeftCell="A106" workbookViewId="0">
      <selection activeCell="C3" sqref="C3"/>
    </sheetView>
  </sheetViews>
  <sheetFormatPr defaultColWidth="10.75" defaultRowHeight="12.75" x14ac:dyDescent="0.2"/>
  <cols>
    <col min="1" max="1" width="18.5" style="10" bestFit="1" customWidth="1"/>
    <col min="2" max="3" width="13.75" style="5" customWidth="1"/>
    <col min="4" max="8" width="21.75" style="5" customWidth="1"/>
    <col min="9" max="16384" width="10.75" style="4"/>
  </cols>
  <sheetData>
    <row r="1" spans="1:8" x14ac:dyDescent="0.2">
      <c r="A1" s="217" t="s">
        <v>192</v>
      </c>
      <c r="B1" s="217"/>
      <c r="C1" s="217"/>
      <c r="D1" s="217"/>
      <c r="E1" s="217"/>
      <c r="F1" s="217"/>
      <c r="G1" s="217"/>
      <c r="H1" s="217"/>
    </row>
    <row r="2" spans="1:8" x14ac:dyDescent="0.2">
      <c r="A2" s="7" t="s">
        <v>189</v>
      </c>
      <c r="B2" s="8" t="s">
        <v>188</v>
      </c>
      <c r="C2" s="8" t="s">
        <v>182</v>
      </c>
      <c r="D2" s="8" t="s">
        <v>183</v>
      </c>
      <c r="E2" s="8" t="s">
        <v>184</v>
      </c>
      <c r="F2" s="8" t="s">
        <v>185</v>
      </c>
      <c r="G2" s="8" t="s">
        <v>186</v>
      </c>
      <c r="H2" s="8" t="s">
        <v>187</v>
      </c>
    </row>
    <row r="3" spans="1:8" x14ac:dyDescent="0.2">
      <c r="A3" s="9" t="s">
        <v>180</v>
      </c>
      <c r="B3" s="6">
        <v>10.130000000000001</v>
      </c>
      <c r="C3" s="6">
        <f>B3*12/3</f>
        <v>40.520000000000003</v>
      </c>
      <c r="D3" s="6">
        <f>AVERAGE(C3:C129)</f>
        <v>195.75023622047243</v>
      </c>
      <c r="E3" s="6">
        <f>MEDIAN(C3:C129)</f>
        <v>189.96</v>
      </c>
      <c r="F3" s="6">
        <f>STDEV(C3:C129)</f>
        <v>97.649089410204923</v>
      </c>
      <c r="G3" s="6">
        <f>D3-F3</f>
        <v>98.101146810267508</v>
      </c>
      <c r="H3" s="6">
        <f>E3-G3</f>
        <v>91.8588531897325</v>
      </c>
    </row>
    <row r="4" spans="1:8" x14ac:dyDescent="0.2">
      <c r="A4" s="9" t="s">
        <v>180</v>
      </c>
      <c r="B4" s="6">
        <v>12.49</v>
      </c>
      <c r="C4" s="6">
        <f t="shared" ref="C4:C67" si="0">B4*12/3</f>
        <v>49.96</v>
      </c>
      <c r="G4" s="6">
        <f>G3+G3*3.2%</f>
        <v>101.24038350819608</v>
      </c>
    </row>
    <row r="5" spans="1:8" x14ac:dyDescent="0.2">
      <c r="A5" s="9" t="s">
        <v>180</v>
      </c>
      <c r="B5" s="6">
        <v>12.49</v>
      </c>
      <c r="C5" s="6">
        <f t="shared" si="0"/>
        <v>49.96</v>
      </c>
    </row>
    <row r="6" spans="1:8" x14ac:dyDescent="0.2">
      <c r="A6" s="9" t="s">
        <v>180</v>
      </c>
      <c r="B6" s="6">
        <v>14.86</v>
      </c>
      <c r="C6" s="6">
        <f t="shared" si="0"/>
        <v>59.44</v>
      </c>
    </row>
    <row r="7" spans="1:8" x14ac:dyDescent="0.2">
      <c r="A7" s="9" t="s">
        <v>180</v>
      </c>
      <c r="B7" s="6">
        <v>14.86</v>
      </c>
      <c r="C7" s="6">
        <f t="shared" si="0"/>
        <v>59.44</v>
      </c>
    </row>
    <row r="8" spans="1:8" x14ac:dyDescent="0.2">
      <c r="A8" s="9" t="s">
        <v>180</v>
      </c>
      <c r="B8" s="6">
        <v>23.83</v>
      </c>
      <c r="C8" s="6">
        <f t="shared" si="0"/>
        <v>95.32</v>
      </c>
    </row>
    <row r="9" spans="1:8" x14ac:dyDescent="0.2">
      <c r="A9" s="9" t="s">
        <v>180</v>
      </c>
      <c r="B9" s="6">
        <v>24.5</v>
      </c>
      <c r="C9" s="6">
        <f t="shared" si="0"/>
        <v>98</v>
      </c>
    </row>
    <row r="10" spans="1:8" x14ac:dyDescent="0.2">
      <c r="A10" s="9" t="s">
        <v>180</v>
      </c>
      <c r="B10" s="6">
        <v>28</v>
      </c>
      <c r="C10" s="6">
        <f t="shared" si="0"/>
        <v>112</v>
      </c>
    </row>
    <row r="11" spans="1:8" x14ac:dyDescent="0.2">
      <c r="A11" s="9" t="s">
        <v>180</v>
      </c>
      <c r="B11" s="6">
        <v>28</v>
      </c>
      <c r="C11" s="6">
        <f t="shared" si="0"/>
        <v>112</v>
      </c>
    </row>
    <row r="12" spans="1:8" x14ac:dyDescent="0.2">
      <c r="A12" s="9" t="s">
        <v>180</v>
      </c>
      <c r="B12" s="6">
        <v>28</v>
      </c>
      <c r="C12" s="6">
        <f t="shared" si="0"/>
        <v>112</v>
      </c>
    </row>
    <row r="13" spans="1:8" x14ac:dyDescent="0.2">
      <c r="A13" s="9" t="s">
        <v>180</v>
      </c>
      <c r="B13" s="6">
        <v>28</v>
      </c>
      <c r="C13" s="6">
        <f t="shared" si="0"/>
        <v>112</v>
      </c>
    </row>
    <row r="14" spans="1:8" x14ac:dyDescent="0.2">
      <c r="A14" s="9" t="s">
        <v>180</v>
      </c>
      <c r="B14" s="6">
        <v>30.83</v>
      </c>
      <c r="C14" s="6">
        <f t="shared" si="0"/>
        <v>123.32</v>
      </c>
    </row>
    <row r="15" spans="1:8" x14ac:dyDescent="0.2">
      <c r="A15" s="9" t="s">
        <v>180</v>
      </c>
      <c r="B15" s="6">
        <v>32.25</v>
      </c>
      <c r="C15" s="6">
        <f t="shared" si="0"/>
        <v>129</v>
      </c>
    </row>
    <row r="16" spans="1:8" x14ac:dyDescent="0.2">
      <c r="A16" s="9" t="s">
        <v>180</v>
      </c>
      <c r="B16" s="6">
        <v>32.64</v>
      </c>
      <c r="C16" s="6">
        <f t="shared" si="0"/>
        <v>130.56</v>
      </c>
    </row>
    <row r="17" spans="1:3" x14ac:dyDescent="0.2">
      <c r="A17" s="9" t="s">
        <v>180</v>
      </c>
      <c r="B17" s="6">
        <v>34.33</v>
      </c>
      <c r="C17" s="6">
        <f t="shared" si="0"/>
        <v>137.32</v>
      </c>
    </row>
    <row r="18" spans="1:3" x14ac:dyDescent="0.2">
      <c r="A18" s="9" t="s">
        <v>180</v>
      </c>
      <c r="B18" s="6">
        <v>37.5</v>
      </c>
      <c r="C18" s="6">
        <f t="shared" si="0"/>
        <v>150</v>
      </c>
    </row>
    <row r="19" spans="1:3" x14ac:dyDescent="0.2">
      <c r="A19" s="9" t="s">
        <v>180</v>
      </c>
      <c r="B19" s="6">
        <v>41.47</v>
      </c>
      <c r="C19" s="6">
        <f t="shared" si="0"/>
        <v>165.88</v>
      </c>
    </row>
    <row r="20" spans="1:3" x14ac:dyDescent="0.2">
      <c r="A20" s="9" t="s">
        <v>180</v>
      </c>
      <c r="B20" s="6">
        <v>41.98</v>
      </c>
      <c r="C20" s="6">
        <f t="shared" si="0"/>
        <v>167.92</v>
      </c>
    </row>
    <row r="21" spans="1:3" x14ac:dyDescent="0.2">
      <c r="A21" s="9" t="s">
        <v>180</v>
      </c>
      <c r="B21" s="6">
        <v>47.94</v>
      </c>
      <c r="C21" s="6">
        <f t="shared" si="0"/>
        <v>191.76</v>
      </c>
    </row>
    <row r="22" spans="1:3" x14ac:dyDescent="0.2">
      <c r="A22" s="9" t="s">
        <v>180</v>
      </c>
      <c r="B22" s="6">
        <v>51.67</v>
      </c>
      <c r="C22" s="6">
        <f t="shared" si="0"/>
        <v>206.67999999999998</v>
      </c>
    </row>
    <row r="23" spans="1:3" x14ac:dyDescent="0.2">
      <c r="A23" s="9" t="s">
        <v>180</v>
      </c>
      <c r="B23" s="6">
        <v>52.14</v>
      </c>
      <c r="C23" s="6">
        <f t="shared" si="0"/>
        <v>208.56000000000003</v>
      </c>
    </row>
    <row r="24" spans="1:3" x14ac:dyDescent="0.2">
      <c r="A24" s="9" t="s">
        <v>180</v>
      </c>
      <c r="B24" s="6">
        <v>55.13</v>
      </c>
      <c r="C24" s="6">
        <f t="shared" si="0"/>
        <v>220.52</v>
      </c>
    </row>
    <row r="25" spans="1:3" x14ac:dyDescent="0.2">
      <c r="A25" s="9" t="s">
        <v>180</v>
      </c>
      <c r="B25" s="6">
        <v>70</v>
      </c>
      <c r="C25" s="6">
        <f t="shared" si="0"/>
        <v>280</v>
      </c>
    </row>
    <row r="26" spans="1:3" x14ac:dyDescent="0.2">
      <c r="A26" s="9" t="s">
        <v>180</v>
      </c>
      <c r="B26" s="6">
        <v>70</v>
      </c>
      <c r="C26" s="6">
        <f t="shared" si="0"/>
        <v>280</v>
      </c>
    </row>
    <row r="27" spans="1:3" x14ac:dyDescent="0.2">
      <c r="A27" s="9" t="s">
        <v>180</v>
      </c>
      <c r="B27" s="6">
        <v>74.27</v>
      </c>
      <c r="C27" s="6">
        <f t="shared" si="0"/>
        <v>297.08</v>
      </c>
    </row>
    <row r="28" spans="1:3" x14ac:dyDescent="0.2">
      <c r="A28" s="9" t="s">
        <v>180</v>
      </c>
      <c r="B28" s="6">
        <v>100.12</v>
      </c>
      <c r="C28" s="6">
        <f t="shared" si="0"/>
        <v>400.48</v>
      </c>
    </row>
    <row r="29" spans="1:3" x14ac:dyDescent="0.2">
      <c r="A29" s="9" t="s">
        <v>180</v>
      </c>
      <c r="B29" s="6">
        <v>104</v>
      </c>
      <c r="C29" s="6">
        <f t="shared" si="0"/>
        <v>416</v>
      </c>
    </row>
    <row r="30" spans="1:3" x14ac:dyDescent="0.2">
      <c r="A30" s="9" t="s">
        <v>180</v>
      </c>
      <c r="B30" s="6">
        <v>104</v>
      </c>
      <c r="C30" s="6">
        <f t="shared" si="0"/>
        <v>416</v>
      </c>
    </row>
    <row r="31" spans="1:3" x14ac:dyDescent="0.2">
      <c r="A31" s="9" t="s">
        <v>190</v>
      </c>
      <c r="B31" s="6">
        <v>6.32</v>
      </c>
      <c r="C31" s="6">
        <f t="shared" si="0"/>
        <v>25.28</v>
      </c>
    </row>
    <row r="32" spans="1:3" x14ac:dyDescent="0.2">
      <c r="A32" s="9" t="s">
        <v>190</v>
      </c>
      <c r="B32" s="6">
        <v>9.7100000000000009</v>
      </c>
      <c r="C32" s="6">
        <f t="shared" si="0"/>
        <v>38.840000000000003</v>
      </c>
    </row>
    <row r="33" spans="1:3" x14ac:dyDescent="0.2">
      <c r="A33" s="9" t="s">
        <v>190</v>
      </c>
      <c r="B33" s="6">
        <v>21.89</v>
      </c>
      <c r="C33" s="6">
        <f t="shared" si="0"/>
        <v>87.56</v>
      </c>
    </row>
    <row r="34" spans="1:3" x14ac:dyDescent="0.2">
      <c r="A34" s="9" t="s">
        <v>190</v>
      </c>
      <c r="B34" s="6">
        <v>22.35</v>
      </c>
      <c r="C34" s="6">
        <f t="shared" si="0"/>
        <v>89.40000000000002</v>
      </c>
    </row>
    <row r="35" spans="1:3" x14ac:dyDescent="0.2">
      <c r="A35" s="9" t="s">
        <v>190</v>
      </c>
      <c r="B35" s="6">
        <v>26.27</v>
      </c>
      <c r="C35" s="6">
        <f t="shared" si="0"/>
        <v>105.08</v>
      </c>
    </row>
    <row r="36" spans="1:3" x14ac:dyDescent="0.2">
      <c r="A36" s="9" t="s">
        <v>190</v>
      </c>
      <c r="B36" s="6">
        <v>27.68</v>
      </c>
      <c r="C36" s="6">
        <f t="shared" si="0"/>
        <v>110.71999999999998</v>
      </c>
    </row>
    <row r="37" spans="1:3" x14ac:dyDescent="0.2">
      <c r="A37" s="9" t="s">
        <v>190</v>
      </c>
      <c r="B37" s="6">
        <v>28</v>
      </c>
      <c r="C37" s="6">
        <f t="shared" si="0"/>
        <v>112</v>
      </c>
    </row>
    <row r="38" spans="1:3" x14ac:dyDescent="0.2">
      <c r="A38" s="9" t="s">
        <v>190</v>
      </c>
      <c r="B38" s="6">
        <v>28.33</v>
      </c>
      <c r="C38" s="6">
        <f t="shared" si="0"/>
        <v>113.32</v>
      </c>
    </row>
    <row r="39" spans="1:3" x14ac:dyDescent="0.2">
      <c r="A39" s="9" t="s">
        <v>190</v>
      </c>
      <c r="B39" s="6">
        <v>30</v>
      </c>
      <c r="C39" s="6">
        <f t="shared" si="0"/>
        <v>120</v>
      </c>
    </row>
    <row r="40" spans="1:3" x14ac:dyDescent="0.2">
      <c r="A40" s="9" t="s">
        <v>190</v>
      </c>
      <c r="B40" s="6">
        <v>31.67</v>
      </c>
      <c r="C40" s="6">
        <f t="shared" si="0"/>
        <v>126.68</v>
      </c>
    </row>
    <row r="41" spans="1:3" x14ac:dyDescent="0.2">
      <c r="A41" s="9" t="s">
        <v>190</v>
      </c>
      <c r="B41" s="6">
        <v>32</v>
      </c>
      <c r="C41" s="6">
        <f t="shared" si="0"/>
        <v>128</v>
      </c>
    </row>
    <row r="42" spans="1:3" x14ac:dyDescent="0.2">
      <c r="A42" s="9" t="s">
        <v>190</v>
      </c>
      <c r="B42" s="6">
        <v>33.880000000000003</v>
      </c>
      <c r="C42" s="6">
        <f t="shared" si="0"/>
        <v>135.52000000000001</v>
      </c>
    </row>
    <row r="43" spans="1:3" x14ac:dyDescent="0.2">
      <c r="A43" s="9" t="s">
        <v>190</v>
      </c>
      <c r="B43" s="6">
        <v>34.24</v>
      </c>
      <c r="C43" s="6">
        <f t="shared" si="0"/>
        <v>136.96</v>
      </c>
    </row>
    <row r="44" spans="1:3" x14ac:dyDescent="0.2">
      <c r="A44" s="9" t="s">
        <v>190</v>
      </c>
      <c r="B44" s="6">
        <v>34.33</v>
      </c>
      <c r="C44" s="6">
        <f t="shared" si="0"/>
        <v>137.32</v>
      </c>
    </row>
    <row r="45" spans="1:3" x14ac:dyDescent="0.2">
      <c r="A45" s="9" t="s">
        <v>190</v>
      </c>
      <c r="B45" s="6">
        <v>37.5</v>
      </c>
      <c r="C45" s="6">
        <f t="shared" si="0"/>
        <v>150</v>
      </c>
    </row>
    <row r="46" spans="1:3" x14ac:dyDescent="0.2">
      <c r="A46" s="9" t="s">
        <v>190</v>
      </c>
      <c r="B46" s="6">
        <v>38.25</v>
      </c>
      <c r="C46" s="6">
        <f t="shared" si="0"/>
        <v>153</v>
      </c>
    </row>
    <row r="47" spans="1:3" x14ac:dyDescent="0.2">
      <c r="A47" s="9" t="s">
        <v>190</v>
      </c>
      <c r="B47" s="6">
        <v>38.43</v>
      </c>
      <c r="C47" s="6">
        <f t="shared" si="0"/>
        <v>153.72</v>
      </c>
    </row>
    <row r="48" spans="1:3" x14ac:dyDescent="0.2">
      <c r="A48" s="9" t="s">
        <v>190</v>
      </c>
      <c r="B48" s="6">
        <v>39.81</v>
      </c>
      <c r="C48" s="6">
        <f t="shared" si="0"/>
        <v>159.24</v>
      </c>
    </row>
    <row r="49" spans="1:3" x14ac:dyDescent="0.2">
      <c r="A49" s="9" t="s">
        <v>190</v>
      </c>
      <c r="B49" s="6">
        <v>40.57</v>
      </c>
      <c r="C49" s="6">
        <f t="shared" si="0"/>
        <v>162.28</v>
      </c>
    </row>
    <row r="50" spans="1:3" x14ac:dyDescent="0.2">
      <c r="A50" s="9" t="s">
        <v>190</v>
      </c>
      <c r="B50" s="6">
        <v>40.98</v>
      </c>
      <c r="C50" s="6">
        <f t="shared" si="0"/>
        <v>163.92</v>
      </c>
    </row>
    <row r="51" spans="1:3" x14ac:dyDescent="0.2">
      <c r="A51" s="9" t="s">
        <v>190</v>
      </c>
      <c r="B51" s="6">
        <v>42.98</v>
      </c>
      <c r="C51" s="6">
        <f t="shared" si="0"/>
        <v>171.92</v>
      </c>
    </row>
    <row r="52" spans="1:3" x14ac:dyDescent="0.2">
      <c r="A52" s="9" t="s">
        <v>190</v>
      </c>
      <c r="B52" s="6">
        <v>44.07</v>
      </c>
      <c r="C52" s="6">
        <f t="shared" si="0"/>
        <v>176.28</v>
      </c>
    </row>
    <row r="53" spans="1:3" x14ac:dyDescent="0.2">
      <c r="A53" s="9" t="s">
        <v>190</v>
      </c>
      <c r="B53" s="6">
        <v>45.31</v>
      </c>
      <c r="C53" s="6">
        <f t="shared" si="0"/>
        <v>181.24</v>
      </c>
    </row>
    <row r="54" spans="1:3" x14ac:dyDescent="0.2">
      <c r="A54" s="9" t="s">
        <v>190</v>
      </c>
      <c r="B54" s="6">
        <v>47.49</v>
      </c>
      <c r="C54" s="6">
        <f t="shared" si="0"/>
        <v>189.96</v>
      </c>
    </row>
    <row r="55" spans="1:3" x14ac:dyDescent="0.2">
      <c r="A55" s="9" t="s">
        <v>190</v>
      </c>
      <c r="B55" s="6">
        <v>49.9</v>
      </c>
      <c r="C55" s="6">
        <f t="shared" si="0"/>
        <v>199.6</v>
      </c>
    </row>
    <row r="56" spans="1:3" x14ac:dyDescent="0.2">
      <c r="A56" s="9" t="s">
        <v>190</v>
      </c>
      <c r="B56" s="6">
        <v>51.5</v>
      </c>
      <c r="C56" s="6">
        <f t="shared" si="0"/>
        <v>206</v>
      </c>
    </row>
    <row r="57" spans="1:3" x14ac:dyDescent="0.2">
      <c r="A57" s="9" t="s">
        <v>190</v>
      </c>
      <c r="B57" s="6">
        <v>52.34</v>
      </c>
      <c r="C57" s="6">
        <f t="shared" si="0"/>
        <v>209.36</v>
      </c>
    </row>
    <row r="58" spans="1:3" x14ac:dyDescent="0.2">
      <c r="A58" s="9" t="s">
        <v>190</v>
      </c>
      <c r="B58" s="6">
        <v>54.87</v>
      </c>
      <c r="C58" s="6">
        <f t="shared" si="0"/>
        <v>219.48</v>
      </c>
    </row>
    <row r="59" spans="1:3" x14ac:dyDescent="0.2">
      <c r="A59" s="9" t="s">
        <v>190</v>
      </c>
      <c r="B59" s="6">
        <v>60</v>
      </c>
      <c r="C59" s="6">
        <f t="shared" si="0"/>
        <v>240</v>
      </c>
    </row>
    <row r="60" spans="1:3" x14ac:dyDescent="0.2">
      <c r="A60" s="9" t="s">
        <v>190</v>
      </c>
      <c r="B60" s="6">
        <v>60</v>
      </c>
      <c r="C60" s="6">
        <f t="shared" si="0"/>
        <v>240</v>
      </c>
    </row>
    <row r="61" spans="1:3" x14ac:dyDescent="0.2">
      <c r="A61" s="9" t="s">
        <v>190</v>
      </c>
      <c r="B61" s="6">
        <v>60</v>
      </c>
      <c r="C61" s="6">
        <f t="shared" si="0"/>
        <v>240</v>
      </c>
    </row>
    <row r="62" spans="1:3" x14ac:dyDescent="0.2">
      <c r="A62" s="9" t="s">
        <v>190</v>
      </c>
      <c r="B62" s="6">
        <v>61.19</v>
      </c>
      <c r="C62" s="6">
        <f t="shared" si="0"/>
        <v>244.76</v>
      </c>
    </row>
    <row r="63" spans="1:3" x14ac:dyDescent="0.2">
      <c r="A63" s="9" t="s">
        <v>190</v>
      </c>
      <c r="B63" s="6">
        <v>62.25</v>
      </c>
      <c r="C63" s="6">
        <f t="shared" si="0"/>
        <v>249</v>
      </c>
    </row>
    <row r="64" spans="1:3" x14ac:dyDescent="0.2">
      <c r="A64" s="9" t="s">
        <v>190</v>
      </c>
      <c r="B64" s="6">
        <v>62.95</v>
      </c>
      <c r="C64" s="6">
        <f t="shared" si="0"/>
        <v>251.80000000000004</v>
      </c>
    </row>
    <row r="65" spans="1:3" x14ac:dyDescent="0.2">
      <c r="A65" s="9" t="s">
        <v>190</v>
      </c>
      <c r="B65" s="6">
        <v>64.599999999999994</v>
      </c>
      <c r="C65" s="6">
        <f t="shared" si="0"/>
        <v>258.39999999999998</v>
      </c>
    </row>
    <row r="66" spans="1:3" x14ac:dyDescent="0.2">
      <c r="A66" s="9" t="s">
        <v>190</v>
      </c>
      <c r="B66" s="6">
        <v>64.599999999999994</v>
      </c>
      <c r="C66" s="6">
        <f t="shared" si="0"/>
        <v>258.39999999999998</v>
      </c>
    </row>
    <row r="67" spans="1:3" x14ac:dyDescent="0.2">
      <c r="A67" s="9" t="s">
        <v>190</v>
      </c>
      <c r="B67" s="6">
        <v>64.599999999999994</v>
      </c>
      <c r="C67" s="6">
        <f t="shared" si="0"/>
        <v>258.39999999999998</v>
      </c>
    </row>
    <row r="68" spans="1:3" x14ac:dyDescent="0.2">
      <c r="A68" s="9" t="s">
        <v>190</v>
      </c>
      <c r="B68" s="6">
        <v>67.17</v>
      </c>
      <c r="C68" s="6">
        <f t="shared" ref="C68:C87" si="1">B68*12/3</f>
        <v>268.68</v>
      </c>
    </row>
    <row r="69" spans="1:3" x14ac:dyDescent="0.2">
      <c r="A69" s="9" t="s">
        <v>190</v>
      </c>
      <c r="B69" s="6">
        <v>67.17</v>
      </c>
      <c r="C69" s="6">
        <f t="shared" si="1"/>
        <v>268.68</v>
      </c>
    </row>
    <row r="70" spans="1:3" x14ac:dyDescent="0.2">
      <c r="A70" s="9" t="s">
        <v>190</v>
      </c>
      <c r="B70" s="6">
        <v>67.5</v>
      </c>
      <c r="C70" s="6">
        <f t="shared" si="1"/>
        <v>270</v>
      </c>
    </row>
    <row r="71" spans="1:3" x14ac:dyDescent="0.2">
      <c r="A71" s="9" t="s">
        <v>190</v>
      </c>
      <c r="B71" s="6">
        <v>68.37</v>
      </c>
      <c r="C71" s="6">
        <f t="shared" si="1"/>
        <v>273.48</v>
      </c>
    </row>
    <row r="72" spans="1:3" x14ac:dyDescent="0.2">
      <c r="A72" s="9" t="s">
        <v>190</v>
      </c>
      <c r="B72" s="6">
        <v>69.180000000000007</v>
      </c>
      <c r="C72" s="6">
        <f t="shared" si="1"/>
        <v>276.72000000000003</v>
      </c>
    </row>
    <row r="73" spans="1:3" x14ac:dyDescent="0.2">
      <c r="A73" s="9" t="s">
        <v>190</v>
      </c>
      <c r="B73" s="6">
        <v>69.760000000000005</v>
      </c>
      <c r="C73" s="6">
        <f t="shared" si="1"/>
        <v>279.04000000000002</v>
      </c>
    </row>
    <row r="74" spans="1:3" x14ac:dyDescent="0.2">
      <c r="A74" s="9" t="s">
        <v>190</v>
      </c>
      <c r="B74" s="6">
        <v>70</v>
      </c>
      <c r="C74" s="6">
        <f t="shared" si="1"/>
        <v>280</v>
      </c>
    </row>
    <row r="75" spans="1:3" x14ac:dyDescent="0.2">
      <c r="A75" s="9" t="s">
        <v>190</v>
      </c>
      <c r="B75" s="6">
        <v>70</v>
      </c>
      <c r="C75" s="6">
        <f t="shared" si="1"/>
        <v>280</v>
      </c>
    </row>
    <row r="76" spans="1:3" x14ac:dyDescent="0.2">
      <c r="A76" s="9" t="s">
        <v>190</v>
      </c>
      <c r="B76" s="6">
        <v>70.95</v>
      </c>
      <c r="C76" s="6">
        <f t="shared" si="1"/>
        <v>283.8</v>
      </c>
    </row>
    <row r="77" spans="1:3" x14ac:dyDescent="0.2">
      <c r="A77" s="9" t="s">
        <v>190</v>
      </c>
      <c r="B77" s="6">
        <v>74.33</v>
      </c>
      <c r="C77" s="6">
        <f t="shared" si="1"/>
        <v>297.32</v>
      </c>
    </row>
    <row r="78" spans="1:3" x14ac:dyDescent="0.2">
      <c r="A78" s="9" t="s">
        <v>190</v>
      </c>
      <c r="B78" s="6">
        <v>74.680000000000007</v>
      </c>
      <c r="C78" s="6">
        <f t="shared" si="1"/>
        <v>298.72000000000003</v>
      </c>
    </row>
    <row r="79" spans="1:3" x14ac:dyDescent="0.2">
      <c r="A79" s="9" t="s">
        <v>190</v>
      </c>
      <c r="B79" s="6">
        <v>77</v>
      </c>
      <c r="C79" s="6">
        <f t="shared" si="1"/>
        <v>308</v>
      </c>
    </row>
    <row r="80" spans="1:3" x14ac:dyDescent="0.2">
      <c r="A80" s="9" t="s">
        <v>190</v>
      </c>
      <c r="B80" s="6">
        <v>80.34</v>
      </c>
      <c r="C80" s="6">
        <f t="shared" si="1"/>
        <v>321.36</v>
      </c>
    </row>
    <row r="81" spans="1:3" x14ac:dyDescent="0.2">
      <c r="A81" s="9" t="s">
        <v>190</v>
      </c>
      <c r="B81" s="6">
        <v>80.510000000000005</v>
      </c>
      <c r="C81" s="6">
        <f t="shared" si="1"/>
        <v>322.04000000000002</v>
      </c>
    </row>
    <row r="82" spans="1:3" x14ac:dyDescent="0.2">
      <c r="A82" s="9" t="s">
        <v>190</v>
      </c>
      <c r="B82" s="6">
        <v>85.5</v>
      </c>
      <c r="C82" s="6">
        <f t="shared" si="1"/>
        <v>342</v>
      </c>
    </row>
    <row r="83" spans="1:3" x14ac:dyDescent="0.2">
      <c r="A83" s="9" t="s">
        <v>190</v>
      </c>
      <c r="B83" s="6">
        <v>95.79</v>
      </c>
      <c r="C83" s="6">
        <f t="shared" si="1"/>
        <v>383.16</v>
      </c>
    </row>
    <row r="84" spans="1:3" x14ac:dyDescent="0.2">
      <c r="A84" s="9" t="s">
        <v>190</v>
      </c>
      <c r="B84" s="6">
        <v>95.79</v>
      </c>
      <c r="C84" s="6">
        <f t="shared" si="1"/>
        <v>383.16</v>
      </c>
    </row>
    <row r="85" spans="1:3" x14ac:dyDescent="0.2">
      <c r="A85" s="9" t="s">
        <v>190</v>
      </c>
      <c r="B85" s="6">
        <v>100.83</v>
      </c>
      <c r="C85" s="6">
        <f t="shared" si="1"/>
        <v>403.32</v>
      </c>
    </row>
    <row r="86" spans="1:3" x14ac:dyDescent="0.2">
      <c r="A86" s="9" t="s">
        <v>190</v>
      </c>
      <c r="B86" s="6">
        <v>112.19</v>
      </c>
      <c r="C86" s="6">
        <f t="shared" si="1"/>
        <v>448.76</v>
      </c>
    </row>
    <row r="87" spans="1:3" x14ac:dyDescent="0.2">
      <c r="A87" s="9" t="s">
        <v>190</v>
      </c>
      <c r="B87" s="6">
        <v>117.14</v>
      </c>
      <c r="C87" s="6">
        <f t="shared" si="1"/>
        <v>468.56</v>
      </c>
    </row>
    <row r="88" spans="1:3" x14ac:dyDescent="0.2">
      <c r="A88" s="9" t="s">
        <v>191</v>
      </c>
      <c r="B88" s="6">
        <v>22.11</v>
      </c>
      <c r="C88" s="6">
        <f>B88*12/4</f>
        <v>66.33</v>
      </c>
    </row>
    <row r="89" spans="1:3" x14ac:dyDescent="0.2">
      <c r="A89" s="9" t="s">
        <v>191</v>
      </c>
      <c r="B89" s="6">
        <v>27.39</v>
      </c>
      <c r="C89" s="6">
        <f t="shared" ref="C89:C129" si="2">B89*12/4</f>
        <v>82.17</v>
      </c>
    </row>
    <row r="90" spans="1:3" x14ac:dyDescent="0.2">
      <c r="A90" s="9" t="s">
        <v>191</v>
      </c>
      <c r="B90" s="6">
        <v>27.39</v>
      </c>
      <c r="C90" s="6">
        <f t="shared" si="2"/>
        <v>82.17</v>
      </c>
    </row>
    <row r="91" spans="1:3" x14ac:dyDescent="0.2">
      <c r="A91" s="9" t="s">
        <v>191</v>
      </c>
      <c r="B91" s="6">
        <v>27.39</v>
      </c>
      <c r="C91" s="6">
        <f t="shared" si="2"/>
        <v>82.17</v>
      </c>
    </row>
    <row r="92" spans="1:3" x14ac:dyDescent="0.2">
      <c r="A92" s="9" t="s">
        <v>191</v>
      </c>
      <c r="B92" s="6">
        <v>29.83</v>
      </c>
      <c r="C92" s="6">
        <f t="shared" si="2"/>
        <v>89.49</v>
      </c>
    </row>
    <row r="93" spans="1:3" x14ac:dyDescent="0.2">
      <c r="A93" s="9" t="s">
        <v>191</v>
      </c>
      <c r="B93" s="6">
        <v>31.08</v>
      </c>
      <c r="C93" s="6">
        <f t="shared" si="2"/>
        <v>93.24</v>
      </c>
    </row>
    <row r="94" spans="1:3" x14ac:dyDescent="0.2">
      <c r="A94" s="9" t="s">
        <v>191</v>
      </c>
      <c r="B94" s="6">
        <v>31.67</v>
      </c>
      <c r="C94" s="6">
        <f t="shared" si="2"/>
        <v>95.01</v>
      </c>
    </row>
    <row r="95" spans="1:3" x14ac:dyDescent="0.2">
      <c r="A95" s="9" t="s">
        <v>191</v>
      </c>
      <c r="B95" s="6">
        <v>34.5</v>
      </c>
      <c r="C95" s="6">
        <f t="shared" si="2"/>
        <v>103.5</v>
      </c>
    </row>
    <row r="96" spans="1:3" x14ac:dyDescent="0.2">
      <c r="A96" s="9" t="s">
        <v>191</v>
      </c>
      <c r="B96" s="6">
        <v>34.5</v>
      </c>
      <c r="C96" s="6">
        <f t="shared" si="2"/>
        <v>103.5</v>
      </c>
    </row>
    <row r="97" spans="1:3" x14ac:dyDescent="0.2">
      <c r="A97" s="9" t="s">
        <v>191</v>
      </c>
      <c r="B97" s="6">
        <v>35.700000000000003</v>
      </c>
      <c r="C97" s="6">
        <f t="shared" si="2"/>
        <v>107.10000000000001</v>
      </c>
    </row>
    <row r="98" spans="1:3" x14ac:dyDescent="0.2">
      <c r="A98" s="9" t="s">
        <v>191</v>
      </c>
      <c r="B98" s="6">
        <v>35.700000000000003</v>
      </c>
      <c r="C98" s="6">
        <f t="shared" si="2"/>
        <v>107.10000000000001</v>
      </c>
    </row>
    <row r="99" spans="1:3" x14ac:dyDescent="0.2">
      <c r="A99" s="9" t="s">
        <v>191</v>
      </c>
      <c r="B99" s="6">
        <v>38.46</v>
      </c>
      <c r="C99" s="6">
        <f t="shared" si="2"/>
        <v>115.38</v>
      </c>
    </row>
    <row r="100" spans="1:3" x14ac:dyDescent="0.2">
      <c r="A100" s="9" t="s">
        <v>191</v>
      </c>
      <c r="B100" s="6">
        <v>40</v>
      </c>
      <c r="C100" s="6">
        <f t="shared" si="2"/>
        <v>120</v>
      </c>
    </row>
    <row r="101" spans="1:3" x14ac:dyDescent="0.2">
      <c r="A101" s="9" t="s">
        <v>191</v>
      </c>
      <c r="B101" s="6">
        <v>40</v>
      </c>
      <c r="C101" s="6">
        <f t="shared" si="2"/>
        <v>120</v>
      </c>
    </row>
    <row r="102" spans="1:3" x14ac:dyDescent="0.2">
      <c r="A102" s="9" t="s">
        <v>191</v>
      </c>
      <c r="B102" s="6">
        <v>40</v>
      </c>
      <c r="C102" s="6">
        <f t="shared" si="2"/>
        <v>120</v>
      </c>
    </row>
    <row r="103" spans="1:3" x14ac:dyDescent="0.2">
      <c r="A103" s="9" t="s">
        <v>191</v>
      </c>
      <c r="B103" s="6">
        <v>41.08</v>
      </c>
      <c r="C103" s="6">
        <f t="shared" si="2"/>
        <v>123.24</v>
      </c>
    </row>
    <row r="104" spans="1:3" x14ac:dyDescent="0.2">
      <c r="A104" s="9" t="s">
        <v>191</v>
      </c>
      <c r="B104" s="6">
        <v>41.08</v>
      </c>
      <c r="C104" s="6">
        <f t="shared" si="2"/>
        <v>123.24</v>
      </c>
    </row>
    <row r="105" spans="1:3" x14ac:dyDescent="0.2">
      <c r="A105" s="9" t="s">
        <v>191</v>
      </c>
      <c r="B105" s="6">
        <v>41.08</v>
      </c>
      <c r="C105" s="6">
        <f t="shared" si="2"/>
        <v>123.24</v>
      </c>
    </row>
    <row r="106" spans="1:3" x14ac:dyDescent="0.2">
      <c r="A106" s="9" t="s">
        <v>191</v>
      </c>
      <c r="B106" s="6">
        <v>46</v>
      </c>
      <c r="C106" s="6">
        <f t="shared" si="2"/>
        <v>138</v>
      </c>
    </row>
    <row r="107" spans="1:3" x14ac:dyDescent="0.2">
      <c r="A107" s="9" t="s">
        <v>191</v>
      </c>
      <c r="B107" s="6">
        <v>46</v>
      </c>
      <c r="C107" s="6">
        <f t="shared" si="2"/>
        <v>138</v>
      </c>
    </row>
    <row r="108" spans="1:3" x14ac:dyDescent="0.2">
      <c r="A108" s="9" t="s">
        <v>191</v>
      </c>
      <c r="B108" s="6">
        <v>46</v>
      </c>
      <c r="C108" s="6">
        <f t="shared" si="2"/>
        <v>138</v>
      </c>
    </row>
    <row r="109" spans="1:3" x14ac:dyDescent="0.2">
      <c r="A109" s="9" t="s">
        <v>191</v>
      </c>
      <c r="B109" s="6">
        <v>48.29</v>
      </c>
      <c r="C109" s="6">
        <f t="shared" si="2"/>
        <v>144.87</v>
      </c>
    </row>
    <row r="110" spans="1:3" x14ac:dyDescent="0.2">
      <c r="A110" s="9" t="s">
        <v>191</v>
      </c>
      <c r="B110" s="6">
        <v>66.47</v>
      </c>
      <c r="C110" s="6">
        <f t="shared" si="2"/>
        <v>199.41</v>
      </c>
    </row>
    <row r="111" spans="1:3" x14ac:dyDescent="0.2">
      <c r="A111" s="9" t="s">
        <v>191</v>
      </c>
      <c r="B111" s="6">
        <v>66.47</v>
      </c>
      <c r="C111" s="6">
        <f t="shared" si="2"/>
        <v>199.41</v>
      </c>
    </row>
    <row r="112" spans="1:3" x14ac:dyDescent="0.2">
      <c r="A112" s="9" t="s">
        <v>191</v>
      </c>
      <c r="B112" s="6">
        <v>67.3</v>
      </c>
      <c r="C112" s="6">
        <f t="shared" si="2"/>
        <v>201.89999999999998</v>
      </c>
    </row>
    <row r="113" spans="1:3" x14ac:dyDescent="0.2">
      <c r="A113" s="9" t="s">
        <v>191</v>
      </c>
      <c r="B113" s="6">
        <v>67.3</v>
      </c>
      <c r="C113" s="6">
        <f t="shared" si="2"/>
        <v>201.89999999999998</v>
      </c>
    </row>
    <row r="114" spans="1:3" x14ac:dyDescent="0.2">
      <c r="A114" s="9" t="s">
        <v>191</v>
      </c>
      <c r="B114" s="6">
        <v>67.58</v>
      </c>
      <c r="C114" s="6">
        <f t="shared" si="2"/>
        <v>202.74</v>
      </c>
    </row>
    <row r="115" spans="1:3" x14ac:dyDescent="0.2">
      <c r="A115" s="9" t="s">
        <v>191</v>
      </c>
      <c r="B115" s="6">
        <v>69.16</v>
      </c>
      <c r="C115" s="6">
        <f t="shared" si="2"/>
        <v>207.48</v>
      </c>
    </row>
    <row r="116" spans="1:3" x14ac:dyDescent="0.2">
      <c r="A116" s="9" t="s">
        <v>191</v>
      </c>
      <c r="B116" s="6">
        <v>69.16</v>
      </c>
      <c r="C116" s="6">
        <f t="shared" si="2"/>
        <v>207.48</v>
      </c>
    </row>
    <row r="117" spans="1:3" x14ac:dyDescent="0.2">
      <c r="A117" s="9" t="s">
        <v>191</v>
      </c>
      <c r="B117" s="6">
        <v>69.650000000000006</v>
      </c>
      <c r="C117" s="6">
        <f t="shared" si="2"/>
        <v>208.95000000000002</v>
      </c>
    </row>
    <row r="118" spans="1:3" x14ac:dyDescent="0.2">
      <c r="A118" s="9" t="s">
        <v>191</v>
      </c>
      <c r="B118" s="6">
        <v>69.650000000000006</v>
      </c>
      <c r="C118" s="6">
        <f t="shared" si="2"/>
        <v>208.95000000000002</v>
      </c>
    </row>
    <row r="119" spans="1:3" x14ac:dyDescent="0.2">
      <c r="A119" s="9" t="s">
        <v>191</v>
      </c>
      <c r="B119" s="6">
        <v>72.099999999999994</v>
      </c>
      <c r="C119" s="6">
        <f t="shared" si="2"/>
        <v>216.29999999999998</v>
      </c>
    </row>
    <row r="120" spans="1:3" x14ac:dyDescent="0.2">
      <c r="A120" s="9" t="s">
        <v>191</v>
      </c>
      <c r="B120" s="6">
        <v>78.069999999999993</v>
      </c>
      <c r="C120" s="6">
        <f t="shared" si="2"/>
        <v>234.20999999999998</v>
      </c>
    </row>
    <row r="121" spans="1:3" x14ac:dyDescent="0.2">
      <c r="A121" s="9" t="s">
        <v>191</v>
      </c>
      <c r="B121" s="6">
        <v>78.069999999999993</v>
      </c>
      <c r="C121" s="6">
        <f t="shared" si="2"/>
        <v>234.20999999999998</v>
      </c>
    </row>
    <row r="122" spans="1:3" x14ac:dyDescent="0.2">
      <c r="A122" s="9" t="s">
        <v>191</v>
      </c>
      <c r="B122" s="6">
        <v>78.069999999999993</v>
      </c>
      <c r="C122" s="6">
        <f t="shared" si="2"/>
        <v>234.20999999999998</v>
      </c>
    </row>
    <row r="123" spans="1:3" x14ac:dyDescent="0.2">
      <c r="A123" s="9" t="s">
        <v>191</v>
      </c>
      <c r="B123" s="6">
        <v>83.06</v>
      </c>
      <c r="C123" s="6">
        <f t="shared" si="2"/>
        <v>249.18</v>
      </c>
    </row>
    <row r="124" spans="1:3" x14ac:dyDescent="0.2">
      <c r="A124" s="9" t="s">
        <v>191</v>
      </c>
      <c r="B124" s="6">
        <v>83.08</v>
      </c>
      <c r="C124" s="6">
        <f t="shared" si="2"/>
        <v>249.24</v>
      </c>
    </row>
    <row r="125" spans="1:3" x14ac:dyDescent="0.2">
      <c r="A125" s="9" t="s">
        <v>191</v>
      </c>
      <c r="B125" s="6">
        <v>83.98</v>
      </c>
      <c r="C125" s="6">
        <f t="shared" si="2"/>
        <v>251.94</v>
      </c>
    </row>
    <row r="126" spans="1:3" x14ac:dyDescent="0.2">
      <c r="A126" s="9" t="s">
        <v>191</v>
      </c>
      <c r="B126" s="6">
        <v>120.19</v>
      </c>
      <c r="C126" s="6">
        <f t="shared" si="2"/>
        <v>360.57</v>
      </c>
    </row>
    <row r="127" spans="1:3" x14ac:dyDescent="0.2">
      <c r="A127" s="9" t="s">
        <v>191</v>
      </c>
      <c r="B127" s="6">
        <v>120.19</v>
      </c>
      <c r="C127" s="6">
        <f t="shared" si="2"/>
        <v>360.57</v>
      </c>
    </row>
    <row r="128" spans="1:3" x14ac:dyDescent="0.2">
      <c r="A128" s="9" t="s">
        <v>191</v>
      </c>
      <c r="B128" s="6">
        <v>120.26</v>
      </c>
      <c r="C128" s="6">
        <f t="shared" si="2"/>
        <v>360.78000000000003</v>
      </c>
    </row>
    <row r="129" spans="1:3" x14ac:dyDescent="0.2">
      <c r="A129" s="9" t="s">
        <v>191</v>
      </c>
      <c r="B129" s="6">
        <v>124.38</v>
      </c>
      <c r="C129" s="6">
        <f t="shared" si="2"/>
        <v>373.14</v>
      </c>
    </row>
  </sheetData>
  <sortState xmlns:xlrd2="http://schemas.microsoft.com/office/spreadsheetml/2017/richdata2" ref="A3:B129">
    <sortCondition ref="A3:A129"/>
    <sortCondition ref="B3:B129"/>
  </sortState>
  <mergeCells count="1">
    <mergeCell ref="A1:H1"/>
  </mergeCells>
  <pageMargins left="0.511811024" right="0.511811024" top="0.78740157499999996" bottom="0.78740157499999996" header="0.31496062000000002" footer="0.31496062000000002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8"/>
  <sheetViews>
    <sheetView topLeftCell="A4" workbookViewId="0">
      <selection activeCell="A18" sqref="A18:XFD18"/>
    </sheetView>
  </sheetViews>
  <sheetFormatPr defaultColWidth="10.75" defaultRowHeight="12.75" x14ac:dyDescent="0.2"/>
  <cols>
    <col min="1" max="1" width="37.75" style="10" customWidth="1"/>
    <col min="2" max="3" width="13.75" style="5" customWidth="1"/>
    <col min="4" max="4" width="11.5" style="5" customWidth="1"/>
    <col min="5" max="16384" width="10.75" style="4"/>
  </cols>
  <sheetData>
    <row r="1" spans="1:4" ht="30" customHeight="1" x14ac:dyDescent="0.2">
      <c r="A1" s="221" t="s">
        <v>211</v>
      </c>
      <c r="B1" s="222"/>
      <c r="C1" s="222"/>
      <c r="D1" s="223"/>
    </row>
    <row r="2" spans="1:4" ht="27" customHeight="1" x14ac:dyDescent="0.2">
      <c r="A2" s="48" t="s">
        <v>212</v>
      </c>
      <c r="B2" s="49" t="s">
        <v>213</v>
      </c>
      <c r="C2" s="50" t="s">
        <v>229</v>
      </c>
      <c r="D2" s="51" t="s">
        <v>223</v>
      </c>
    </row>
    <row r="3" spans="1:4" x14ac:dyDescent="0.2">
      <c r="A3" s="102" t="s">
        <v>230</v>
      </c>
      <c r="B3" s="34">
        <v>11</v>
      </c>
      <c r="C3" s="100">
        <v>6</v>
      </c>
      <c r="D3" s="53">
        <f>B3*C3</f>
        <v>66</v>
      </c>
    </row>
    <row r="4" spans="1:4" ht="25.5" x14ac:dyDescent="0.2">
      <c r="A4" s="54" t="s">
        <v>214</v>
      </c>
      <c r="B4" s="34">
        <v>11</v>
      </c>
      <c r="C4" s="100">
        <v>6</v>
      </c>
      <c r="D4" s="53">
        <f t="shared" ref="D4:D6" si="0">B4*C4</f>
        <v>66</v>
      </c>
    </row>
    <row r="5" spans="1:4" x14ac:dyDescent="0.2">
      <c r="A5" s="52" t="s">
        <v>215</v>
      </c>
      <c r="B5" s="34">
        <v>19</v>
      </c>
      <c r="C5" s="100">
        <v>6</v>
      </c>
      <c r="D5" s="53">
        <f t="shared" si="0"/>
        <v>114</v>
      </c>
    </row>
    <row r="6" spans="1:4" x14ac:dyDescent="0.2">
      <c r="A6" s="52" t="s">
        <v>216</v>
      </c>
      <c r="B6" s="34">
        <v>1.1000000000000001</v>
      </c>
      <c r="C6" s="100">
        <v>6</v>
      </c>
      <c r="D6" s="53">
        <f t="shared" si="0"/>
        <v>6.6000000000000005</v>
      </c>
    </row>
    <row r="7" spans="1:4" x14ac:dyDescent="0.2">
      <c r="A7" s="224" t="s">
        <v>217</v>
      </c>
      <c r="B7" s="225"/>
      <c r="C7" s="226"/>
      <c r="D7" s="105">
        <f>SUM(D3:D6)</f>
        <v>252.6</v>
      </c>
    </row>
    <row r="8" spans="1:4" x14ac:dyDescent="0.2">
      <c r="A8" s="227" t="s">
        <v>218</v>
      </c>
      <c r="B8" s="228"/>
      <c r="C8" s="229"/>
      <c r="D8" s="105">
        <f>D7/28</f>
        <v>9.0214285714285705</v>
      </c>
    </row>
    <row r="9" spans="1:4" x14ac:dyDescent="0.2">
      <c r="A9" s="55"/>
      <c r="B9" s="6"/>
      <c r="C9" s="6"/>
      <c r="D9" s="53"/>
    </row>
    <row r="10" spans="1:4" x14ac:dyDescent="0.2">
      <c r="A10" s="230" t="s">
        <v>222</v>
      </c>
      <c r="B10" s="231"/>
      <c r="C10" s="231"/>
      <c r="D10" s="232"/>
    </row>
    <row r="11" spans="1:4" ht="25.5" x14ac:dyDescent="0.2">
      <c r="A11" s="48" t="s">
        <v>212</v>
      </c>
      <c r="B11" s="49" t="s">
        <v>213</v>
      </c>
      <c r="C11" s="50" t="s">
        <v>224</v>
      </c>
      <c r="D11" s="51" t="s">
        <v>223</v>
      </c>
    </row>
    <row r="12" spans="1:4" x14ac:dyDescent="0.2">
      <c r="A12" s="102" t="s">
        <v>230</v>
      </c>
      <c r="B12" s="6">
        <v>11</v>
      </c>
      <c r="C12" s="101">
        <v>10</v>
      </c>
      <c r="D12" s="53">
        <f>B12*C12</f>
        <v>110</v>
      </c>
    </row>
    <row r="13" spans="1:4" ht="25.5" x14ac:dyDescent="0.2">
      <c r="A13" s="56" t="s">
        <v>214</v>
      </c>
      <c r="B13" s="6">
        <v>11</v>
      </c>
      <c r="C13" s="101">
        <v>10</v>
      </c>
      <c r="D13" s="53">
        <f t="shared" ref="D13:D15" si="1">B13*C13</f>
        <v>110</v>
      </c>
    </row>
    <row r="14" spans="1:4" x14ac:dyDescent="0.2">
      <c r="A14" s="55" t="s">
        <v>215</v>
      </c>
      <c r="B14" s="6">
        <v>19</v>
      </c>
      <c r="C14" s="101">
        <v>10</v>
      </c>
      <c r="D14" s="53">
        <f t="shared" si="1"/>
        <v>190</v>
      </c>
    </row>
    <row r="15" spans="1:4" x14ac:dyDescent="0.2">
      <c r="A15" s="55" t="s">
        <v>216</v>
      </c>
      <c r="B15" s="6">
        <v>1.1000000000000001</v>
      </c>
      <c r="C15" s="101">
        <v>10</v>
      </c>
      <c r="D15" s="53">
        <f t="shared" si="1"/>
        <v>11</v>
      </c>
    </row>
    <row r="16" spans="1:4" x14ac:dyDescent="0.2">
      <c r="A16" s="224" t="s">
        <v>217</v>
      </c>
      <c r="B16" s="225"/>
      <c r="C16" s="226"/>
      <c r="D16" s="53">
        <f>SUM(D12:D15)</f>
        <v>421</v>
      </c>
    </row>
    <row r="17" spans="1:4" x14ac:dyDescent="0.2">
      <c r="A17" s="227" t="s">
        <v>218</v>
      </c>
      <c r="B17" s="228"/>
      <c r="C17" s="229"/>
      <c r="D17" s="105">
        <f>D16/28</f>
        <v>15.035714285714286</v>
      </c>
    </row>
    <row r="18" spans="1:4" ht="18" customHeight="1" thickBot="1" x14ac:dyDescent="0.25">
      <c r="A18" s="218" t="s">
        <v>219</v>
      </c>
      <c r="B18" s="219"/>
      <c r="C18" s="220"/>
      <c r="D18" s="57">
        <f>(B3+B4+B5+B6+B12+B13+B14+B15)/2</f>
        <v>42.099999999999994</v>
      </c>
    </row>
  </sheetData>
  <mergeCells count="7">
    <mergeCell ref="A18:C18"/>
    <mergeCell ref="A1:D1"/>
    <mergeCell ref="A7:C7"/>
    <mergeCell ref="A8:C8"/>
    <mergeCell ref="A10:D10"/>
    <mergeCell ref="A16:C16"/>
    <mergeCell ref="A17:C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Precificação Total</vt:lpstr>
      <vt:lpstr>Precificação por Lote</vt:lpstr>
      <vt:lpstr>Uniforme</vt:lpstr>
      <vt:lpstr>Uniforme.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Vieira Ribeiro</dc:creator>
  <cp:lastModifiedBy>Aldevâneo</cp:lastModifiedBy>
  <cp:lastPrinted>2021-05-31T16:45:30Z</cp:lastPrinted>
  <dcterms:created xsi:type="dcterms:W3CDTF">2020-08-03T17:19:56Z</dcterms:created>
  <dcterms:modified xsi:type="dcterms:W3CDTF">2021-07-02T12:55:41Z</dcterms:modified>
</cp:coreProperties>
</file>